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35" windowWidth="14805" windowHeight="7980"/>
  </bookViews>
  <sheets>
    <sheet name="装备" sheetId="1" r:id="rId1"/>
    <sheet name="计算器" sheetId="3" r:id="rId2"/>
    <sheet name="词缀" sheetId="2" r:id="rId3"/>
    <sheet name="统计" sheetId="4" r:id="rId4"/>
  </sheets>
  <definedNames>
    <definedName name="_51时刻">词缀!#REF!</definedName>
    <definedName name="阿克汗的护腿">词缀!$O$2:$O$7</definedName>
    <definedName name="阿克汗的肩铠">词缀!$F$13:$F$17</definedName>
    <definedName name="阿克汗的铠靴">词缀!$Q$2:$Q$7</definedName>
    <definedName name="阿克汗的手套">词缀!$F$2:$F$8</definedName>
    <definedName name="阿克汗的头盔">词缀!$D$13:$D$19</definedName>
    <definedName name="阿克汗的胸甲">词缀!$D$2:$D$7</definedName>
    <definedName name="盾牌">词缀!$S$2:$S$11</definedName>
    <definedName name="夺魂者裹腕">词缀!$K$2:$K$7</definedName>
    <definedName name="焚炉">词缀!$V$2:$V$8</definedName>
    <definedName name="皇家华戒">词缀!$N$2:$N$9</definedName>
    <definedName name="李奥瑞克的王冠">词缀!$C$13:$C$19</definedName>
    <definedName name="刨心者">词缀!$X$2:$X$9</definedName>
    <definedName name="破灭余恶">词缀!$W$2:$W$8</definedName>
    <definedName name="其他腰带">词缀!$I$2:$I$7</definedName>
    <definedName name="骑士腰带">词缀!$H$2:$H$6</definedName>
    <definedName name="强横护腕">词缀!$J$2:$J$7</definedName>
    <definedName name="乔丹">词缀!$N$2:$N$9</definedName>
    <definedName name="圣教军盾牌">词缀!$R$2:$R$11</definedName>
    <definedName name="团结">词缀!$L$2:$L$7</definedName>
    <definedName name="巫异时刻">词缀!$G$2:$G$7</definedName>
    <definedName name="项链">词缀!$C$2:$C$8</definedName>
    <definedName name="杨先生的妖术裤">词缀!$P$2:$P$7</definedName>
    <definedName name="妖邪必败">词缀!$U$2:$U$8</definedName>
    <definedName name="预言之刃">词缀!$T$2:$T$8</definedName>
  </definedNames>
  <calcPr calcId="145621"/>
</workbook>
</file>

<file path=xl/calcChain.xml><?xml version="1.0" encoding="utf-8"?>
<calcChain xmlns="http://schemas.openxmlformats.org/spreadsheetml/2006/main">
  <c r="G8" i="1" l="1"/>
  <c r="R7" i="4"/>
  <c r="R4" i="4"/>
  <c r="R2" i="4"/>
  <c r="N8" i="4"/>
  <c r="N6" i="4"/>
  <c r="L10" i="4"/>
  <c r="L9" i="4"/>
  <c r="H2" i="4"/>
  <c r="F2" i="4"/>
  <c r="D9" i="4"/>
  <c r="D7" i="4"/>
  <c r="D4" i="4"/>
  <c r="B14" i="4"/>
  <c r="O5" i="1" l="1"/>
  <c r="R8" i="4"/>
  <c r="F3" i="4"/>
  <c r="M17" i="3" l="1"/>
  <c r="M19" i="3"/>
  <c r="M20" i="3"/>
  <c r="M21" i="3"/>
  <c r="M22" i="3"/>
  <c r="M24" i="3"/>
  <c r="M4" i="3" l="1"/>
  <c r="M5" i="3"/>
  <c r="M6" i="3"/>
  <c r="M7" i="3"/>
  <c r="M8" i="3"/>
  <c r="M9" i="3"/>
  <c r="M10" i="3"/>
  <c r="M11" i="3"/>
  <c r="M12" i="3"/>
  <c r="M13" i="3"/>
  <c r="M14" i="3"/>
  <c r="M15" i="3"/>
  <c r="M16" i="3"/>
  <c r="D13" i="3"/>
  <c r="P10" i="4"/>
  <c r="E22" i="4"/>
  <c r="E18" i="4"/>
  <c r="E16" i="4"/>
  <c r="F7" i="4"/>
  <c r="E15" i="4"/>
  <c r="E14" i="4"/>
  <c r="E13" i="4"/>
  <c r="E21" i="4"/>
  <c r="P9" i="4"/>
  <c r="P8" i="4"/>
  <c r="P7" i="4"/>
  <c r="P6" i="4"/>
  <c r="P5" i="4"/>
  <c r="P4" i="4"/>
  <c r="P3" i="4"/>
  <c r="N5" i="4"/>
  <c r="P2" i="4"/>
  <c r="R6" i="4"/>
  <c r="R3" i="4"/>
  <c r="R5" i="4"/>
  <c r="R9" i="4" l="1"/>
  <c r="B8" i="3" s="1"/>
  <c r="F23" i="4"/>
  <c r="P11" i="4"/>
  <c r="P12" i="4" l="1"/>
  <c r="N7" i="4" l="1"/>
  <c r="N4" i="4"/>
  <c r="N3" i="4"/>
  <c r="N2" i="4"/>
  <c r="L11" i="4"/>
  <c r="L8" i="4"/>
  <c r="L7" i="4"/>
  <c r="L6" i="4"/>
  <c r="L5" i="4"/>
  <c r="L4" i="4"/>
  <c r="L3" i="4"/>
  <c r="L12" i="4"/>
  <c r="J10" i="4"/>
  <c r="D11" i="4"/>
  <c r="H11" i="4"/>
  <c r="T5" i="1"/>
  <c r="T6" i="1"/>
  <c r="T2" i="1"/>
  <c r="E25" i="4" s="1"/>
  <c r="B11" i="3" s="1"/>
  <c r="J9" i="4"/>
  <c r="J8" i="4"/>
  <c r="J7" i="4"/>
  <c r="J6" i="4"/>
  <c r="J5" i="4"/>
  <c r="J4" i="4"/>
  <c r="J3" i="4"/>
  <c r="J2" i="4"/>
  <c r="H10" i="4"/>
  <c r="H9" i="4"/>
  <c r="H8" i="4"/>
  <c r="H7" i="4"/>
  <c r="H6" i="4"/>
  <c r="H5" i="4"/>
  <c r="H4" i="4"/>
  <c r="H3" i="4"/>
  <c r="F6" i="4"/>
  <c r="F5" i="4"/>
  <c r="F4" i="4"/>
  <c r="D8" i="4"/>
  <c r="D6" i="4"/>
  <c r="D5" i="4"/>
  <c r="D3" i="4"/>
  <c r="D2" i="4"/>
  <c r="B18" i="4"/>
  <c r="B17" i="4"/>
  <c r="B16" i="4"/>
  <c r="B15" i="4"/>
  <c r="B13" i="4"/>
  <c r="B12" i="4"/>
  <c r="B11" i="4"/>
  <c r="B10" i="4"/>
  <c r="B9" i="4"/>
  <c r="B8" i="4"/>
  <c r="B7" i="4"/>
  <c r="B6" i="4"/>
  <c r="B4" i="4"/>
  <c r="B3" i="4"/>
  <c r="B2" i="4"/>
  <c r="H18" i="4"/>
  <c r="O7" i="1" s="1"/>
  <c r="C29" i="1"/>
  <c r="F8" i="4" l="1"/>
  <c r="B9" i="3" s="1"/>
  <c r="I14" i="4"/>
  <c r="B12" i="3"/>
  <c r="J11" i="4"/>
  <c r="B5" i="3" s="1"/>
  <c r="H12" i="4"/>
  <c r="B4" i="3" s="1"/>
  <c r="O6" i="1"/>
  <c r="I16" i="4" l="1"/>
  <c r="G9" i="3"/>
  <c r="I13" i="4"/>
  <c r="D10" i="4"/>
  <c r="K30" i="1"/>
  <c r="E17" i="4" s="1"/>
  <c r="F19" i="4" s="1"/>
  <c r="B10" i="3" s="1"/>
  <c r="C28" i="1"/>
  <c r="L2" i="4"/>
  <c r="G16" i="1"/>
  <c r="B5" i="4" s="1"/>
  <c r="I15" i="4" l="1"/>
  <c r="G8" i="3"/>
  <c r="B21" i="4"/>
  <c r="B6" i="3"/>
  <c r="B7" i="3"/>
  <c r="G10" i="3"/>
  <c r="L13" i="4"/>
  <c r="B13" i="3" s="1"/>
  <c r="L14" i="4"/>
  <c r="B14" i="3" s="1"/>
  <c r="B20" i="4"/>
  <c r="B3" i="3" l="1"/>
  <c r="B16" i="3" s="1"/>
  <c r="B20" i="3" l="1"/>
  <c r="B18" i="3"/>
  <c r="B15" i="3"/>
  <c r="B21" i="3"/>
  <c r="B19" i="3"/>
  <c r="B23" i="3" s="1"/>
</calcChain>
</file>

<file path=xl/sharedStrings.xml><?xml version="1.0" encoding="utf-8"?>
<sst xmlns="http://schemas.openxmlformats.org/spreadsheetml/2006/main" count="701" uniqueCount="383">
  <si>
    <t>李奥瑞克的王冠</t>
    <phoneticPr fontId="1" type="noConversion"/>
  </si>
  <si>
    <t>阿克汗的头盔</t>
    <phoneticPr fontId="1" type="noConversion"/>
  </si>
  <si>
    <t>力量</t>
  </si>
  <si>
    <t>力量</t>
    <phoneticPr fontId="1" type="noConversion"/>
  </si>
  <si>
    <t>体力</t>
  </si>
  <si>
    <t>体力</t>
    <phoneticPr fontId="1" type="noConversion"/>
  </si>
  <si>
    <t>加生命%</t>
  </si>
  <si>
    <t>加生命%</t>
    <phoneticPr fontId="1" type="noConversion"/>
  </si>
  <si>
    <t>暴击</t>
  </si>
  <si>
    <t>暴击</t>
    <phoneticPr fontId="1" type="noConversion"/>
  </si>
  <si>
    <t>技能伤害</t>
  </si>
  <si>
    <t>技能伤害</t>
    <phoneticPr fontId="1" type="noConversion"/>
  </si>
  <si>
    <t>孔</t>
  </si>
  <si>
    <t>孔</t>
    <phoneticPr fontId="1" type="noConversion"/>
  </si>
  <si>
    <t>CDR</t>
  </si>
  <si>
    <t>CDR</t>
    <phoneticPr fontId="1" type="noConversion"/>
  </si>
  <si>
    <t>头部</t>
    <phoneticPr fontId="1" type="noConversion"/>
  </si>
  <si>
    <t>词缀1</t>
  </si>
  <si>
    <t>词缀1</t>
    <phoneticPr fontId="1" type="noConversion"/>
  </si>
  <si>
    <t>词缀2</t>
  </si>
  <si>
    <t>词缀2</t>
    <phoneticPr fontId="1" type="noConversion"/>
  </si>
  <si>
    <t>词缀3</t>
  </si>
  <si>
    <t>词缀3</t>
    <phoneticPr fontId="1" type="noConversion"/>
  </si>
  <si>
    <t>词缀4</t>
  </si>
  <si>
    <t>词缀4</t>
    <phoneticPr fontId="1" type="noConversion"/>
  </si>
  <si>
    <t>主词缀</t>
  </si>
  <si>
    <t>主词缀</t>
    <phoneticPr fontId="1" type="noConversion"/>
  </si>
  <si>
    <t>数值</t>
  </si>
  <si>
    <t>数值</t>
    <phoneticPr fontId="1" type="noConversion"/>
  </si>
  <si>
    <t>传奇特效</t>
    <phoneticPr fontId="1" type="noConversion"/>
  </si>
  <si>
    <t>无</t>
  </si>
  <si>
    <t>无</t>
    <phoneticPr fontId="1" type="noConversion"/>
  </si>
  <si>
    <t>宝石加成</t>
    <phoneticPr fontId="1" type="noConversion"/>
  </si>
  <si>
    <t>颈部</t>
    <phoneticPr fontId="1" type="noConversion"/>
  </si>
  <si>
    <t>项链</t>
  </si>
  <si>
    <t>项链</t>
    <phoneticPr fontId="1" type="noConversion"/>
  </si>
  <si>
    <t>主词缀</t>
    <phoneticPr fontId="1" type="noConversion"/>
  </si>
  <si>
    <t>词缀5</t>
  </si>
  <si>
    <t>爆伤</t>
  </si>
  <si>
    <t>爆伤</t>
    <phoneticPr fontId="1" type="noConversion"/>
  </si>
  <si>
    <t>元素伤害</t>
  </si>
  <si>
    <t>元素伤害</t>
    <phoneticPr fontId="1" type="noConversion"/>
  </si>
  <si>
    <t>无</t>
    <phoneticPr fontId="1" type="noConversion"/>
  </si>
  <si>
    <t>身躯</t>
    <phoneticPr fontId="1" type="noConversion"/>
  </si>
  <si>
    <t>阿克汗的胸甲</t>
  </si>
  <si>
    <t>阿克汗的胸甲</t>
    <phoneticPr fontId="1" type="noConversion"/>
  </si>
  <si>
    <t>全抗</t>
  </si>
  <si>
    <t>全抗</t>
    <phoneticPr fontId="1" type="noConversion"/>
  </si>
  <si>
    <t>技能伤害</t>
    <phoneticPr fontId="1" type="noConversion"/>
  </si>
  <si>
    <t>孔</t>
    <phoneticPr fontId="1" type="noConversion"/>
  </si>
  <si>
    <t>主词缀</t>
    <phoneticPr fontId="1" type="noConversion"/>
  </si>
  <si>
    <t>力量</t>
    <phoneticPr fontId="1" type="noConversion"/>
  </si>
  <si>
    <t>全抗</t>
    <phoneticPr fontId="1" type="noConversion"/>
  </si>
  <si>
    <t>无</t>
    <phoneticPr fontId="1" type="noConversion"/>
  </si>
  <si>
    <t>宝石种类</t>
    <phoneticPr fontId="1" type="noConversion"/>
  </si>
  <si>
    <t>手部</t>
    <phoneticPr fontId="1" type="noConversion"/>
  </si>
  <si>
    <t>阿克汗的手套</t>
    <phoneticPr fontId="1" type="noConversion"/>
  </si>
  <si>
    <t>力量</t>
    <phoneticPr fontId="1" type="noConversion"/>
  </si>
  <si>
    <t>体力</t>
    <phoneticPr fontId="1" type="noConversion"/>
  </si>
  <si>
    <t>攻速</t>
    <phoneticPr fontId="1" type="noConversion"/>
  </si>
  <si>
    <t>暴击</t>
    <phoneticPr fontId="1" type="noConversion"/>
  </si>
  <si>
    <t>爆伤</t>
    <phoneticPr fontId="1" type="noConversion"/>
  </si>
  <si>
    <t>CDR</t>
    <phoneticPr fontId="1" type="noConversion"/>
  </si>
  <si>
    <t>阿克汗的手套</t>
    <phoneticPr fontId="1" type="noConversion"/>
  </si>
  <si>
    <t>骑士腰带</t>
    <phoneticPr fontId="1" type="noConversion"/>
  </si>
  <si>
    <t>其他腰带</t>
    <phoneticPr fontId="1" type="noConversion"/>
  </si>
  <si>
    <t>攻速</t>
    <phoneticPr fontId="1" type="noConversion"/>
  </si>
  <si>
    <t>精英伤害</t>
  </si>
  <si>
    <t>精英伤害</t>
    <phoneticPr fontId="1" type="noConversion"/>
  </si>
  <si>
    <t>技能伤害</t>
    <phoneticPr fontId="1" type="noConversion"/>
  </si>
  <si>
    <t>手臂</t>
    <phoneticPr fontId="1" type="noConversion"/>
  </si>
  <si>
    <t>腰部</t>
    <phoneticPr fontId="1" type="noConversion"/>
  </si>
  <si>
    <t>强横护腕</t>
  </si>
  <si>
    <t>强横护腕</t>
    <phoneticPr fontId="1" type="noConversion"/>
  </si>
  <si>
    <t>夺魂者裹腕</t>
    <phoneticPr fontId="1" type="noConversion"/>
  </si>
  <si>
    <t>元素伤害</t>
    <phoneticPr fontId="1" type="noConversion"/>
  </si>
  <si>
    <t>戒指1</t>
    <phoneticPr fontId="1" type="noConversion"/>
  </si>
  <si>
    <t>戒指2</t>
    <phoneticPr fontId="1" type="noConversion"/>
  </si>
  <si>
    <t>团结</t>
    <phoneticPr fontId="1" type="noConversion"/>
  </si>
  <si>
    <t>乔丹</t>
  </si>
  <si>
    <t>乔丹</t>
    <phoneticPr fontId="1" type="noConversion"/>
  </si>
  <si>
    <t>皇家华戒</t>
    <phoneticPr fontId="1" type="noConversion"/>
  </si>
  <si>
    <t>精英伤害</t>
    <phoneticPr fontId="1" type="noConversion"/>
  </si>
  <si>
    <t>元素伤害</t>
    <phoneticPr fontId="1" type="noConversion"/>
  </si>
  <si>
    <t>攻速</t>
    <phoneticPr fontId="1" type="noConversion"/>
  </si>
  <si>
    <t>击中回复</t>
    <phoneticPr fontId="1" type="noConversion"/>
  </si>
  <si>
    <t>腿部</t>
    <phoneticPr fontId="1" type="noConversion"/>
  </si>
  <si>
    <t>阿克汗的护腿</t>
  </si>
  <si>
    <t>阿克汗的护腿</t>
    <phoneticPr fontId="1" type="noConversion"/>
  </si>
  <si>
    <t>全抗</t>
    <phoneticPr fontId="1" type="noConversion"/>
  </si>
  <si>
    <t>护甲</t>
    <phoneticPr fontId="1" type="noConversion"/>
  </si>
  <si>
    <t>脚部</t>
    <phoneticPr fontId="1" type="noConversion"/>
  </si>
  <si>
    <t>阿克汗的铠靴</t>
  </si>
  <si>
    <t>阿克汗的铠靴</t>
    <phoneticPr fontId="1" type="noConversion"/>
  </si>
  <si>
    <t>移动速度</t>
  </si>
  <si>
    <t>移动速度</t>
    <phoneticPr fontId="1" type="noConversion"/>
  </si>
  <si>
    <t>副手</t>
    <phoneticPr fontId="1" type="noConversion"/>
  </si>
  <si>
    <t>圣教军盾牌</t>
    <phoneticPr fontId="1" type="noConversion"/>
  </si>
  <si>
    <t>格挡</t>
    <phoneticPr fontId="1" type="noConversion"/>
  </si>
  <si>
    <t>其他属性</t>
    <phoneticPr fontId="1" type="noConversion"/>
  </si>
  <si>
    <t>传奇特效</t>
    <phoneticPr fontId="1" type="noConversion"/>
  </si>
  <si>
    <t>双手增伤</t>
    <phoneticPr fontId="1" type="noConversion"/>
  </si>
  <si>
    <t>武器</t>
    <phoneticPr fontId="1" type="noConversion"/>
  </si>
  <si>
    <t>预言之刃</t>
    <phoneticPr fontId="1" type="noConversion"/>
  </si>
  <si>
    <t>妖邪必败</t>
    <phoneticPr fontId="1" type="noConversion"/>
  </si>
  <si>
    <t>焚炉</t>
    <phoneticPr fontId="1" type="noConversion"/>
  </si>
  <si>
    <t>破灭余恶</t>
    <phoneticPr fontId="1" type="noConversion"/>
  </si>
  <si>
    <t>ED</t>
  </si>
  <si>
    <t>ED</t>
    <phoneticPr fontId="1" type="noConversion"/>
  </si>
  <si>
    <t>回怒</t>
    <phoneticPr fontId="1" type="noConversion"/>
  </si>
  <si>
    <t>武器DPH</t>
    <phoneticPr fontId="1" type="noConversion"/>
  </si>
  <si>
    <t>DPH上限</t>
    <phoneticPr fontId="1" type="noConversion"/>
  </si>
  <si>
    <t>DPH下限</t>
    <phoneticPr fontId="1" type="noConversion"/>
  </si>
  <si>
    <t>武器属性</t>
    <phoneticPr fontId="1" type="noConversion"/>
  </si>
  <si>
    <t>精英伤害</t>
    <phoneticPr fontId="1" type="noConversion"/>
  </si>
  <si>
    <t>传奇特效</t>
    <phoneticPr fontId="1" type="noConversion"/>
  </si>
  <si>
    <t>无</t>
    <phoneticPr fontId="1" type="noConversion"/>
  </si>
  <si>
    <t>力量</t>
    <phoneticPr fontId="1" type="noConversion"/>
  </si>
  <si>
    <t>头盔</t>
  </si>
  <si>
    <t>头盔</t>
    <phoneticPr fontId="1" type="noConversion"/>
  </si>
  <si>
    <t>项链</t>
    <phoneticPr fontId="1" type="noConversion"/>
  </si>
  <si>
    <t>胸甲</t>
  </si>
  <si>
    <t>胸甲</t>
    <phoneticPr fontId="1" type="noConversion"/>
  </si>
  <si>
    <t>手套</t>
  </si>
  <si>
    <t>手套</t>
    <phoneticPr fontId="1" type="noConversion"/>
  </si>
  <si>
    <t>腰带</t>
  </si>
  <si>
    <t>腰带</t>
    <phoneticPr fontId="1" type="noConversion"/>
  </si>
  <si>
    <t>护腕</t>
  </si>
  <si>
    <t>护腕</t>
    <phoneticPr fontId="1" type="noConversion"/>
  </si>
  <si>
    <t>戒指1</t>
  </si>
  <si>
    <t>戒指1</t>
    <phoneticPr fontId="1" type="noConversion"/>
  </si>
  <si>
    <t>戒指2</t>
  </si>
  <si>
    <t>戒指2</t>
    <phoneticPr fontId="1" type="noConversion"/>
  </si>
  <si>
    <t>裤子</t>
  </si>
  <si>
    <t>裤子</t>
    <phoneticPr fontId="1" type="noConversion"/>
  </si>
  <si>
    <t>鞋子</t>
  </si>
  <si>
    <t>鞋子</t>
    <phoneticPr fontId="1" type="noConversion"/>
  </si>
  <si>
    <t>盾牌</t>
  </si>
  <si>
    <t>盾牌</t>
    <phoneticPr fontId="1" type="noConversion"/>
  </si>
  <si>
    <t>武器</t>
  </si>
  <si>
    <t>武器</t>
    <phoneticPr fontId="1" type="noConversion"/>
  </si>
  <si>
    <t>装备力量加成</t>
    <phoneticPr fontId="1" type="noConversion"/>
  </si>
  <si>
    <t>总力量</t>
    <phoneticPr fontId="1" type="noConversion"/>
  </si>
  <si>
    <t>孔</t>
    <phoneticPr fontId="1" type="noConversion"/>
  </si>
  <si>
    <t>技能伤害</t>
    <phoneticPr fontId="1" type="noConversion"/>
  </si>
  <si>
    <t>暴击</t>
    <phoneticPr fontId="1" type="noConversion"/>
  </si>
  <si>
    <t>爆伤</t>
    <phoneticPr fontId="1" type="noConversion"/>
  </si>
  <si>
    <t>CDR</t>
    <phoneticPr fontId="1" type="noConversion"/>
  </si>
  <si>
    <t>总孔数</t>
    <phoneticPr fontId="1" type="noConversion"/>
  </si>
  <si>
    <t>套装加成</t>
    <phoneticPr fontId="1" type="noConversion"/>
  </si>
  <si>
    <t>宝石之力</t>
    <phoneticPr fontId="1" type="noConversion"/>
  </si>
  <si>
    <t>精英伤害</t>
    <phoneticPr fontId="1" type="noConversion"/>
  </si>
  <si>
    <t>攻速</t>
    <phoneticPr fontId="1" type="noConversion"/>
  </si>
  <si>
    <t>巅峰属性</t>
    <phoneticPr fontId="1" type="noConversion"/>
  </si>
  <si>
    <t>力量</t>
    <phoneticPr fontId="1" type="noConversion"/>
  </si>
  <si>
    <t>体力</t>
    <phoneticPr fontId="1" type="noConversion"/>
  </si>
  <si>
    <t>CDR</t>
    <phoneticPr fontId="1" type="noConversion"/>
  </si>
  <si>
    <t>全抗</t>
    <phoneticPr fontId="1" type="noConversion"/>
  </si>
  <si>
    <t>人物自带</t>
    <phoneticPr fontId="1" type="noConversion"/>
  </si>
  <si>
    <t>元素伤害</t>
    <phoneticPr fontId="1" type="noConversion"/>
  </si>
  <si>
    <t>肩部</t>
    <phoneticPr fontId="1" type="noConversion"/>
  </si>
  <si>
    <t>阿克汗的肩铠</t>
  </si>
  <si>
    <t>阿克汗的肩铠</t>
    <phoneticPr fontId="1" type="noConversion"/>
  </si>
  <si>
    <t>肩膀</t>
    <phoneticPr fontId="1" type="noConversion"/>
  </si>
  <si>
    <t>巅峰属性</t>
    <phoneticPr fontId="1" type="noConversion"/>
  </si>
  <si>
    <t>人物自带属性</t>
    <phoneticPr fontId="1" type="noConversion"/>
  </si>
  <si>
    <t>体力</t>
    <phoneticPr fontId="1" type="noConversion"/>
  </si>
  <si>
    <t>移动速度</t>
    <phoneticPr fontId="1" type="noConversion"/>
  </si>
  <si>
    <t>攻速</t>
    <phoneticPr fontId="1" type="noConversion"/>
  </si>
  <si>
    <t>暴击</t>
    <phoneticPr fontId="1" type="noConversion"/>
  </si>
  <si>
    <t>爆伤</t>
    <phoneticPr fontId="1" type="noConversion"/>
  </si>
  <si>
    <t>CDR</t>
    <phoneticPr fontId="1" type="noConversion"/>
  </si>
  <si>
    <t>加生命%</t>
    <phoneticPr fontId="1" type="noConversion"/>
  </si>
  <si>
    <t>全抗</t>
    <phoneticPr fontId="1" type="noConversion"/>
  </si>
  <si>
    <t>力量</t>
    <phoneticPr fontId="1" type="noConversion"/>
  </si>
  <si>
    <t>传奇特效</t>
    <phoneticPr fontId="1" type="noConversion"/>
  </si>
  <si>
    <t>杨先生的妖术裤</t>
    <phoneticPr fontId="1" type="noConversion"/>
  </si>
  <si>
    <t>无</t>
    <phoneticPr fontId="1" type="noConversion"/>
  </si>
  <si>
    <t>移动增伤</t>
    <phoneticPr fontId="1" type="noConversion"/>
  </si>
  <si>
    <t>控制增伤</t>
  </si>
  <si>
    <t>控制增伤</t>
    <phoneticPr fontId="1" type="noConversion"/>
  </si>
  <si>
    <t>无</t>
    <phoneticPr fontId="1" type="noConversion"/>
  </si>
  <si>
    <t>攻击上限</t>
    <phoneticPr fontId="1" type="noConversion"/>
  </si>
  <si>
    <t>攻击下限</t>
    <phoneticPr fontId="1" type="noConversion"/>
  </si>
  <si>
    <t>基础上限</t>
    <phoneticPr fontId="1" type="noConversion"/>
  </si>
  <si>
    <t>基础下限</t>
    <phoneticPr fontId="1" type="noConversion"/>
  </si>
  <si>
    <t>预言之刃</t>
  </si>
  <si>
    <t>武器</t>
    <phoneticPr fontId="1" type="noConversion"/>
  </si>
  <si>
    <t>ED</t>
    <phoneticPr fontId="1" type="noConversion"/>
  </si>
  <si>
    <t>附魔后词缀</t>
    <phoneticPr fontId="1" type="noConversion"/>
  </si>
  <si>
    <t>数值</t>
    <phoneticPr fontId="1" type="noConversion"/>
  </si>
  <si>
    <t>攻击上限</t>
    <phoneticPr fontId="1" type="noConversion"/>
  </si>
  <si>
    <t>攻击下限</t>
    <phoneticPr fontId="1" type="noConversion"/>
  </si>
  <si>
    <t>ED</t>
    <phoneticPr fontId="1" type="noConversion"/>
  </si>
  <si>
    <t>攻速</t>
    <phoneticPr fontId="1" type="noConversion"/>
  </si>
  <si>
    <t>DPH上限</t>
    <phoneticPr fontId="1" type="noConversion"/>
  </si>
  <si>
    <t>DPH下限</t>
    <phoneticPr fontId="1" type="noConversion"/>
  </si>
  <si>
    <t>DPS</t>
  </si>
  <si>
    <t>DPS</t>
    <phoneticPr fontId="1" type="noConversion"/>
  </si>
  <si>
    <t>武器附魔计算</t>
    <phoneticPr fontId="1" type="noConversion"/>
  </si>
  <si>
    <t>附魔后属性</t>
    <phoneticPr fontId="1" type="noConversion"/>
  </si>
  <si>
    <t>数值</t>
    <phoneticPr fontId="1" type="noConversion"/>
  </si>
  <si>
    <t>技能加成</t>
    <phoneticPr fontId="1" type="noConversion"/>
  </si>
  <si>
    <t>骑士腰带</t>
  </si>
  <si>
    <t>巫异时刻</t>
    <phoneticPr fontId="1" type="noConversion"/>
  </si>
  <si>
    <t>力量</t>
    <phoneticPr fontId="1" type="noConversion"/>
  </si>
  <si>
    <t>体力</t>
    <phoneticPr fontId="1" type="noConversion"/>
  </si>
  <si>
    <t>全抗</t>
    <phoneticPr fontId="1" type="noConversion"/>
  </si>
  <si>
    <t>加生命%</t>
    <phoneticPr fontId="1" type="noConversion"/>
  </si>
  <si>
    <t>攻速</t>
    <phoneticPr fontId="1" type="noConversion"/>
  </si>
  <si>
    <t>爆伤</t>
    <phoneticPr fontId="1" type="noConversion"/>
  </si>
  <si>
    <t>CDR</t>
    <phoneticPr fontId="1" type="noConversion"/>
  </si>
  <si>
    <t>总暴击</t>
    <phoneticPr fontId="1" type="noConversion"/>
  </si>
  <si>
    <t>总爆伤</t>
    <phoneticPr fontId="1" type="noConversion"/>
  </si>
  <si>
    <t>猛者宝石</t>
    <phoneticPr fontId="1" type="noConversion"/>
  </si>
  <si>
    <t>迅捷勾玉</t>
    <phoneticPr fontId="1" type="noConversion"/>
  </si>
  <si>
    <t>宝石名称</t>
    <phoneticPr fontId="1" type="noConversion"/>
  </si>
  <si>
    <t>宝石等级</t>
    <phoneticPr fontId="1" type="noConversion"/>
  </si>
  <si>
    <t>是否使用</t>
    <phoneticPr fontId="1" type="noConversion"/>
  </si>
  <si>
    <t>特效数值</t>
    <phoneticPr fontId="1" type="noConversion"/>
  </si>
  <si>
    <t>囚者之祸</t>
  </si>
  <si>
    <t>囚者之祸</t>
    <phoneticPr fontId="1" type="noConversion"/>
  </si>
  <si>
    <t>猛者之厄</t>
  </si>
  <si>
    <t>猛者之厄</t>
    <phoneticPr fontId="1" type="noConversion"/>
  </si>
  <si>
    <t>迅捷勾玉</t>
    <phoneticPr fontId="1" type="noConversion"/>
  </si>
  <si>
    <t>银河</t>
    <phoneticPr fontId="1" type="noConversion"/>
  </si>
  <si>
    <t>倍苦增痛</t>
    <phoneticPr fontId="1" type="noConversion"/>
  </si>
  <si>
    <t>是</t>
  </si>
  <si>
    <t>是</t>
    <phoneticPr fontId="1" type="noConversion"/>
  </si>
  <si>
    <t>否</t>
  </si>
  <si>
    <t>否</t>
    <phoneticPr fontId="1" type="noConversion"/>
  </si>
  <si>
    <t>/</t>
    <phoneticPr fontId="1" type="noConversion"/>
  </si>
  <si>
    <t>主动技能</t>
    <phoneticPr fontId="1" type="noConversion"/>
  </si>
  <si>
    <t>被动技能</t>
    <phoneticPr fontId="1" type="noConversion"/>
  </si>
  <si>
    <t>是否使用</t>
    <phoneticPr fontId="1" type="noConversion"/>
  </si>
  <si>
    <t>变身</t>
    <phoneticPr fontId="1" type="noConversion"/>
  </si>
  <si>
    <t>爆伤律令</t>
    <phoneticPr fontId="1" type="noConversion"/>
  </si>
  <si>
    <t>审判</t>
    <phoneticPr fontId="1" type="noConversion"/>
  </si>
  <si>
    <t>圣盾眩光</t>
    <phoneticPr fontId="1" type="noConversion"/>
  </si>
  <si>
    <t>天堂之力</t>
  </si>
  <si>
    <t>神圣使命</t>
  </si>
  <si>
    <t>指挥号令</t>
  </si>
  <si>
    <t>技能</t>
    <phoneticPr fontId="1" type="noConversion"/>
  </si>
  <si>
    <t>是</t>
    <phoneticPr fontId="1" type="noConversion"/>
  </si>
  <si>
    <t>宝石之力</t>
    <phoneticPr fontId="1" type="noConversion"/>
  </si>
  <si>
    <t>技能</t>
    <phoneticPr fontId="1" type="noConversion"/>
  </si>
  <si>
    <t>硬CDR</t>
  </si>
  <si>
    <t>硬CDR</t>
    <phoneticPr fontId="1" type="noConversion"/>
  </si>
  <si>
    <t>软CDR</t>
  </si>
  <si>
    <t>软CDR</t>
    <phoneticPr fontId="1" type="noConversion"/>
  </si>
  <si>
    <t>总计精英伤</t>
    <phoneticPr fontId="1" type="noConversion"/>
  </si>
  <si>
    <t>团结</t>
  </si>
  <si>
    <t>总计元素伤害</t>
    <phoneticPr fontId="1" type="noConversion"/>
  </si>
  <si>
    <t>迅捷勾玉</t>
    <phoneticPr fontId="1" type="noConversion"/>
  </si>
  <si>
    <t>硬攻速</t>
  </si>
  <si>
    <t>硬攻速</t>
    <phoneticPr fontId="1" type="noConversion"/>
  </si>
  <si>
    <t>软攻速</t>
  </si>
  <si>
    <t>软攻速</t>
    <phoneticPr fontId="1" type="noConversion"/>
  </si>
  <si>
    <t>圣盾炫光</t>
  </si>
  <si>
    <t>变身加成</t>
  </si>
  <si>
    <t>妖术裤</t>
  </si>
  <si>
    <t>地狱颅骨</t>
  </si>
  <si>
    <t>控制增伤</t>
    <phoneticPr fontId="1" type="noConversion"/>
  </si>
  <si>
    <t>移动增伤</t>
    <phoneticPr fontId="1" type="noConversion"/>
  </si>
  <si>
    <t>双手增伤</t>
    <phoneticPr fontId="1" type="noConversion"/>
  </si>
  <si>
    <t>独立加成</t>
  </si>
  <si>
    <t>人物基本属性</t>
    <phoneticPr fontId="1" type="noConversion"/>
  </si>
  <si>
    <t>力量</t>
    <phoneticPr fontId="1" type="noConversion"/>
  </si>
  <si>
    <t>攻击</t>
  </si>
  <si>
    <t>攻击</t>
    <phoneticPr fontId="1" type="noConversion"/>
  </si>
  <si>
    <t>防御</t>
    <phoneticPr fontId="1" type="noConversion"/>
  </si>
  <si>
    <t>暴击</t>
    <phoneticPr fontId="1" type="noConversion"/>
  </si>
  <si>
    <t>爆伤</t>
    <phoneticPr fontId="1" type="noConversion"/>
  </si>
  <si>
    <t>元素伤害</t>
    <phoneticPr fontId="1" type="noConversion"/>
  </si>
  <si>
    <t>技能伤害</t>
    <phoneticPr fontId="1" type="noConversion"/>
  </si>
  <si>
    <t>独立加成</t>
    <phoneticPr fontId="1" type="noConversion"/>
  </si>
  <si>
    <t>精英伤害</t>
    <phoneticPr fontId="1" type="noConversion"/>
  </si>
  <si>
    <t>无畏律令</t>
    <phoneticPr fontId="1" type="noConversion"/>
  </si>
  <si>
    <t>无畏律令</t>
    <phoneticPr fontId="1" type="noConversion"/>
  </si>
  <si>
    <t>硬攻速</t>
    <phoneticPr fontId="1" type="noConversion"/>
  </si>
  <si>
    <t>硬CDR</t>
    <phoneticPr fontId="1" type="noConversion"/>
  </si>
  <si>
    <t>软CDR</t>
    <phoneticPr fontId="1" type="noConversion"/>
  </si>
  <si>
    <t>体力</t>
    <phoneticPr fontId="1" type="noConversion"/>
  </si>
  <si>
    <t>全抗</t>
    <phoneticPr fontId="1" type="noConversion"/>
  </si>
  <si>
    <t>加生命%</t>
    <phoneticPr fontId="1" type="noConversion"/>
  </si>
  <si>
    <t>护甲</t>
    <phoneticPr fontId="1" type="noConversion"/>
  </si>
  <si>
    <t>血量</t>
    <phoneticPr fontId="1" type="noConversion"/>
  </si>
  <si>
    <t>有效血量</t>
    <phoneticPr fontId="1" type="noConversion"/>
  </si>
  <si>
    <t>技能伤害</t>
    <phoneticPr fontId="1" type="noConversion"/>
  </si>
  <si>
    <t>对精英最高黄字</t>
  </si>
  <si>
    <t>对精英最高黄字</t>
    <phoneticPr fontId="1" type="noConversion"/>
  </si>
  <si>
    <t>对精英均伤</t>
  </si>
  <si>
    <t>对精英均伤</t>
    <phoneticPr fontId="1" type="noConversion"/>
  </si>
  <si>
    <t>对小怪均伤</t>
  </si>
  <si>
    <t>对小怪最高黄字</t>
  </si>
  <si>
    <t>对小怪最高黄字</t>
    <phoneticPr fontId="1" type="noConversion"/>
  </si>
  <si>
    <t>对小怪均伤</t>
    <phoneticPr fontId="1" type="noConversion"/>
  </si>
  <si>
    <t>DPS</t>
    <phoneticPr fontId="1" type="noConversion"/>
  </si>
  <si>
    <t>技能选择</t>
    <phoneticPr fontId="1" type="noConversion"/>
  </si>
  <si>
    <t>技能名称</t>
    <phoneticPr fontId="1" type="noConversion"/>
  </si>
  <si>
    <t>伤害数值</t>
    <phoneticPr fontId="1" type="noConversion"/>
  </si>
  <si>
    <t>天堂之怒</t>
    <phoneticPr fontId="1" type="noConversion"/>
  </si>
  <si>
    <t>圣君之阵</t>
    <phoneticPr fontId="1" type="noConversion"/>
  </si>
  <si>
    <t>天谴</t>
    <phoneticPr fontId="1" type="noConversion"/>
  </si>
  <si>
    <t>每秒平均伤害计算</t>
  </si>
  <si>
    <t>每秒平均伤害计算</t>
    <phoneticPr fontId="1" type="noConversion"/>
  </si>
  <si>
    <t>本功能目前仅限推马流使用</t>
    <phoneticPr fontId="1" type="noConversion"/>
  </si>
  <si>
    <t>圣君之阵秒伤</t>
  </si>
  <si>
    <t>圣君之阵秒伤</t>
    <phoneticPr fontId="1" type="noConversion"/>
  </si>
  <si>
    <t>假设目标精英怪，六马全中，满BUFF</t>
    <phoneticPr fontId="1" type="noConversion"/>
  </si>
  <si>
    <t>装备对比计算</t>
    <phoneticPr fontId="1" type="noConversion"/>
  </si>
  <si>
    <t>对比前计算</t>
    <phoneticPr fontId="1" type="noConversion"/>
  </si>
  <si>
    <t>对比后计算</t>
    <phoneticPr fontId="1" type="noConversion"/>
  </si>
  <si>
    <t>改变</t>
    <phoneticPr fontId="1" type="noConversion"/>
  </si>
  <si>
    <t>阿克汗的头盔</t>
  </si>
  <si>
    <t>武器基础攻击</t>
    <phoneticPr fontId="1" type="noConversion"/>
  </si>
  <si>
    <t>上限</t>
    <phoneticPr fontId="1" type="noConversion"/>
  </si>
  <si>
    <t>下限</t>
    <phoneticPr fontId="1" type="noConversion"/>
  </si>
  <si>
    <t>武器真实DPH</t>
    <phoneticPr fontId="1" type="noConversion"/>
  </si>
  <si>
    <t>伤害加成</t>
  </si>
  <si>
    <t>伤害加成</t>
    <phoneticPr fontId="1" type="noConversion"/>
  </si>
  <si>
    <t>主动伤害加成</t>
    <phoneticPr fontId="1" type="noConversion"/>
  </si>
  <si>
    <t>被动伤害加成</t>
    <phoneticPr fontId="1" type="noConversion"/>
  </si>
  <si>
    <t>独立伤害加成</t>
    <phoneticPr fontId="1" type="noConversion"/>
  </si>
  <si>
    <t>总计</t>
    <phoneticPr fontId="1" type="noConversion"/>
  </si>
  <si>
    <t>伤害加成</t>
    <phoneticPr fontId="1" type="noConversion"/>
  </si>
  <si>
    <t>全BUFF后DPS</t>
  </si>
  <si>
    <t>全BUFF后DPS</t>
    <phoneticPr fontId="1" type="noConversion"/>
  </si>
  <si>
    <t>变身、杨裤移动、击杀JY后DPS</t>
    <phoneticPr fontId="1" type="noConversion"/>
  </si>
  <si>
    <t>头盔</t>
    <phoneticPr fontId="1" type="noConversion"/>
  </si>
  <si>
    <t>武器</t>
    <phoneticPr fontId="1" type="noConversion"/>
  </si>
  <si>
    <t>盾牌</t>
    <phoneticPr fontId="1" type="noConversion"/>
  </si>
  <si>
    <t>力量</t>
    <phoneticPr fontId="1" type="noConversion"/>
  </si>
  <si>
    <t>体力</t>
    <phoneticPr fontId="1" type="noConversion"/>
  </si>
  <si>
    <t>全抗</t>
    <phoneticPr fontId="1" type="noConversion"/>
  </si>
  <si>
    <t>格挡</t>
    <phoneticPr fontId="1" type="noConversion"/>
  </si>
  <si>
    <t>加生命%</t>
    <phoneticPr fontId="1" type="noConversion"/>
  </si>
  <si>
    <t>暴击</t>
    <phoneticPr fontId="1" type="noConversion"/>
  </si>
  <si>
    <t>精英伤害</t>
    <phoneticPr fontId="1" type="noConversion"/>
  </si>
  <si>
    <t>孔</t>
    <phoneticPr fontId="1" type="noConversion"/>
  </si>
  <si>
    <t>其他属性</t>
    <phoneticPr fontId="1" type="noConversion"/>
  </si>
  <si>
    <t>元素伤害</t>
    <phoneticPr fontId="1" type="noConversion"/>
  </si>
  <si>
    <t>妖邪必败</t>
    <phoneticPr fontId="1" type="noConversion"/>
  </si>
  <si>
    <t>焚炉</t>
  </si>
  <si>
    <t>破灭余恶</t>
  </si>
  <si>
    <t>刨心者</t>
  </si>
  <si>
    <t>刨心者</t>
    <phoneticPr fontId="1" type="noConversion"/>
  </si>
  <si>
    <t>攻速</t>
  </si>
  <si>
    <t>回怒</t>
  </si>
  <si>
    <t>元素伤害</t>
    <phoneticPr fontId="1" type="noConversion"/>
  </si>
  <si>
    <t>天谴</t>
  </si>
  <si>
    <t>B3:C6</t>
  </si>
  <si>
    <t>肩膀</t>
    <phoneticPr fontId="1" type="noConversion"/>
  </si>
  <si>
    <t>头盔</t>
    <phoneticPr fontId="1" type="noConversion"/>
  </si>
  <si>
    <t>F3:G8</t>
  </si>
  <si>
    <t>项链</t>
    <phoneticPr fontId="1" type="noConversion"/>
  </si>
  <si>
    <t>J3:K7</t>
  </si>
  <si>
    <t>手套</t>
    <phoneticPr fontId="1" type="noConversion"/>
  </si>
  <si>
    <t>B10:C13</t>
  </si>
  <si>
    <t>胸甲</t>
    <phoneticPr fontId="1" type="noConversion"/>
  </si>
  <si>
    <t>F12:G15</t>
  </si>
  <si>
    <t>护腕</t>
    <phoneticPr fontId="1" type="noConversion"/>
  </si>
  <si>
    <t>J11:K14</t>
  </si>
  <si>
    <t>戒指1</t>
    <phoneticPr fontId="1" type="noConversion"/>
  </si>
  <si>
    <t>B17:C20</t>
  </si>
  <si>
    <t>戒指2</t>
    <phoneticPr fontId="1" type="noConversion"/>
  </si>
  <si>
    <t>J19:K22</t>
  </si>
  <si>
    <t>腰带</t>
    <phoneticPr fontId="1" type="noConversion"/>
  </si>
  <si>
    <t>F20:G23</t>
  </si>
  <si>
    <t>裤子</t>
    <phoneticPr fontId="1" type="noConversion"/>
  </si>
  <si>
    <t>B24:C27</t>
  </si>
  <si>
    <t>鞋子</t>
    <phoneticPr fontId="1" type="noConversion"/>
  </si>
  <si>
    <t>F27:G30</t>
  </si>
  <si>
    <t>盾牌</t>
    <phoneticPr fontId="1" type="noConversion"/>
  </si>
  <si>
    <t>J26:K29</t>
  </si>
  <si>
    <t>武器</t>
    <phoneticPr fontId="1" type="noConversion"/>
  </si>
  <si>
    <t>N10:O15</t>
  </si>
  <si>
    <t>巅峰</t>
    <phoneticPr fontId="1" type="noConversion"/>
  </si>
  <si>
    <t>M18:N26</t>
  </si>
  <si>
    <t>自带</t>
    <phoneticPr fontId="1" type="noConversion"/>
  </si>
  <si>
    <t>M29:N33</t>
  </si>
  <si>
    <t>宝石加成</t>
    <phoneticPr fontId="1" type="noConversion"/>
  </si>
  <si>
    <t>无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</si>
</sst>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_ "/>
    <numFmt numFmtId="177" formatCode="0.00_ "/>
    <numFmt numFmtId="178" formatCode="#,##0_ "/>
    <numFmt numFmtId="179" formatCode="0.0_);[Red]\(0.0\)"/>
  </numFmts>
  <fonts count="5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2"/>
      <scheme val="minor"/>
    </font>
    <font>
      <sz val="11"/>
      <color theme="1"/>
      <name val="宋体"/>
      <family val="3"/>
      <charset val="134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6" borderId="0" xfId="0" applyFill="1"/>
    <xf numFmtId="0" fontId="0" fillId="7" borderId="1" xfId="0" applyFill="1" applyBorder="1"/>
    <xf numFmtId="0" fontId="0" fillId="8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6" borderId="0" xfId="0" applyFill="1" applyAlignment="1">
      <alignment horizontal="left"/>
    </xf>
    <xf numFmtId="0" fontId="3" fillId="5" borderId="0" xfId="0" applyFont="1" applyFill="1" applyAlignment="1"/>
    <xf numFmtId="0" fontId="4" fillId="8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9" borderId="1" xfId="0" applyFill="1" applyBorder="1"/>
    <xf numFmtId="0" fontId="0" fillId="2" borderId="0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0" fillId="3" borderId="0" xfId="0" applyFill="1"/>
    <xf numFmtId="0" fontId="0" fillId="0" borderId="0" xfId="0" applyAlignment="1"/>
    <xf numFmtId="0" fontId="0" fillId="9" borderId="1" xfId="0" applyFill="1" applyBorder="1" applyAlignment="1">
      <alignment horizontal="center"/>
    </xf>
    <xf numFmtId="176" fontId="0" fillId="2" borderId="1" xfId="0" applyNumberFormat="1" applyFill="1" applyBorder="1" applyAlignment="1">
      <alignment horizontal="right"/>
    </xf>
    <xf numFmtId="0" fontId="0" fillId="2" borderId="1" xfId="0" applyFill="1" applyBorder="1"/>
    <xf numFmtId="178" fontId="0" fillId="3" borderId="0" xfId="0" applyNumberFormat="1" applyFill="1"/>
    <xf numFmtId="10" fontId="0" fillId="3" borderId="0" xfId="0" applyNumberFormat="1" applyFill="1"/>
    <xf numFmtId="177" fontId="0" fillId="3" borderId="0" xfId="0" applyNumberFormat="1" applyFill="1"/>
    <xf numFmtId="178" fontId="2" fillId="3" borderId="0" xfId="0" applyNumberFormat="1" applyFont="1" applyFill="1"/>
    <xf numFmtId="0" fontId="0" fillId="11" borderId="0" xfId="0" applyFill="1" applyAlignment="1">
      <alignment horizontal="center"/>
    </xf>
    <xf numFmtId="0" fontId="0" fillId="10" borderId="1" xfId="0" applyFill="1" applyBorder="1" applyAlignment="1">
      <alignment horizontal="center"/>
    </xf>
    <xf numFmtId="9" fontId="0" fillId="2" borderId="1" xfId="0" applyNumberFormat="1" applyFill="1" applyBorder="1"/>
    <xf numFmtId="10" fontId="2" fillId="4" borderId="0" xfId="0" applyNumberFormat="1" applyFont="1" applyFill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0" fillId="0" borderId="4" xfId="0" applyBorder="1"/>
    <xf numFmtId="179" fontId="2" fillId="4" borderId="0" xfId="0" applyNumberFormat="1" applyFont="1" applyFill="1"/>
    <xf numFmtId="0" fontId="0" fillId="0" borderId="5" xfId="0" applyFill="1" applyBorder="1"/>
    <xf numFmtId="0" fontId="0" fillId="6" borderId="0" xfId="0" applyFill="1" applyAlignment="1">
      <alignment horizontal="left" vertical="center"/>
    </xf>
    <xf numFmtId="0" fontId="0" fillId="3" borderId="0" xfId="0" applyFill="1" applyAlignment="1">
      <alignment horizontal="center"/>
    </xf>
    <xf numFmtId="0" fontId="2" fillId="4" borderId="0" xfId="0" applyFont="1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12" borderId="0" xfId="0" applyFill="1" applyAlignment="1">
      <alignment horizontal="center"/>
    </xf>
    <xf numFmtId="0" fontId="0" fillId="11" borderId="0" xfId="0" applyFill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0" borderId="0" xfId="0" applyFill="1" applyBorder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"/>
  <sheetViews>
    <sheetView tabSelected="1" workbookViewId="0">
      <selection activeCell="Q19" sqref="Q19"/>
    </sheetView>
  </sheetViews>
  <sheetFormatPr defaultRowHeight="13.5" x14ac:dyDescent="0.15"/>
  <cols>
    <col min="1" max="1" width="8.125" customWidth="1"/>
    <col min="2" max="3" width="7.625" customWidth="1"/>
    <col min="4" max="4" width="3.625" customWidth="1"/>
    <col min="5" max="5" width="8.125" customWidth="1"/>
    <col min="6" max="7" width="7.625" customWidth="1"/>
    <col min="8" max="8" width="3.625" customWidth="1"/>
    <col min="9" max="9" width="8.125" customWidth="1"/>
    <col min="10" max="11" width="7.625" customWidth="1"/>
    <col min="12" max="12" width="4.625" customWidth="1"/>
    <col min="16" max="16" width="4.625" customWidth="1"/>
  </cols>
  <sheetData>
    <row r="1" spans="1:20" x14ac:dyDescent="0.15">
      <c r="A1" s="2" t="s">
        <v>160</v>
      </c>
      <c r="B1" s="39" t="s">
        <v>161</v>
      </c>
      <c r="C1" s="39"/>
      <c r="E1" s="2" t="s">
        <v>16</v>
      </c>
      <c r="F1" s="39" t="s">
        <v>314</v>
      </c>
      <c r="G1" s="39"/>
      <c r="I1" s="2" t="s">
        <v>33</v>
      </c>
      <c r="J1" s="39" t="s">
        <v>34</v>
      </c>
      <c r="K1" s="39"/>
      <c r="M1" s="2" t="s">
        <v>102</v>
      </c>
      <c r="N1" s="39" t="s">
        <v>345</v>
      </c>
      <c r="O1" s="39"/>
      <c r="Q1" s="6" t="s">
        <v>216</v>
      </c>
      <c r="R1" s="6" t="s">
        <v>217</v>
      </c>
      <c r="S1" s="6" t="s">
        <v>218</v>
      </c>
      <c r="T1" s="6" t="s">
        <v>219</v>
      </c>
    </row>
    <row r="2" spans="1:20" x14ac:dyDescent="0.15">
      <c r="A2" s="40" t="s">
        <v>26</v>
      </c>
      <c r="B2" s="40"/>
      <c r="C2" s="5" t="s">
        <v>28</v>
      </c>
      <c r="E2" s="40" t="s">
        <v>26</v>
      </c>
      <c r="F2" s="40"/>
      <c r="G2" s="5" t="s">
        <v>28</v>
      </c>
      <c r="I2" s="40" t="s">
        <v>36</v>
      </c>
      <c r="J2" s="40"/>
      <c r="K2" s="5" t="s">
        <v>28</v>
      </c>
      <c r="M2" s="40" t="s">
        <v>25</v>
      </c>
      <c r="N2" s="40"/>
      <c r="O2" s="5" t="s">
        <v>27</v>
      </c>
      <c r="Q2" s="1" t="s">
        <v>221</v>
      </c>
      <c r="R2" s="11">
        <v>38</v>
      </c>
      <c r="S2" s="16" t="s">
        <v>227</v>
      </c>
      <c r="T2" s="10">
        <f>15+0.3*R2</f>
        <v>26.4</v>
      </c>
    </row>
    <row r="3" spans="1:20" x14ac:dyDescent="0.15">
      <c r="A3" s="3" t="s">
        <v>17</v>
      </c>
      <c r="B3" s="1" t="s">
        <v>2</v>
      </c>
      <c r="C3" s="4">
        <v>460</v>
      </c>
      <c r="E3" s="3" t="s">
        <v>18</v>
      </c>
      <c r="F3" s="1" t="s">
        <v>2</v>
      </c>
      <c r="G3" s="4">
        <v>701</v>
      </c>
      <c r="I3" s="3" t="s">
        <v>17</v>
      </c>
      <c r="J3" s="1" t="s">
        <v>8</v>
      </c>
      <c r="K3" s="4">
        <v>8.5</v>
      </c>
      <c r="M3" s="37" t="s">
        <v>110</v>
      </c>
      <c r="N3" s="1" t="s">
        <v>111</v>
      </c>
      <c r="O3" s="4">
        <v>3743</v>
      </c>
      <c r="Q3" s="1" t="s">
        <v>223</v>
      </c>
      <c r="R3" s="11">
        <v>30</v>
      </c>
      <c r="S3" s="16" t="s">
        <v>229</v>
      </c>
      <c r="T3" s="10" t="s">
        <v>231</v>
      </c>
    </row>
    <row r="4" spans="1:20" x14ac:dyDescent="0.15">
      <c r="A4" s="3" t="s">
        <v>19</v>
      </c>
      <c r="B4" s="1" t="s">
        <v>4</v>
      </c>
      <c r="C4" s="4"/>
      <c r="E4" s="3" t="s">
        <v>20</v>
      </c>
      <c r="F4" s="1" t="s">
        <v>4</v>
      </c>
      <c r="G4" s="4">
        <v>0</v>
      </c>
      <c r="I4" s="3" t="s">
        <v>19</v>
      </c>
      <c r="J4" s="1" t="s">
        <v>38</v>
      </c>
      <c r="K4" s="4">
        <v>100</v>
      </c>
      <c r="M4" s="37"/>
      <c r="N4" s="1" t="s">
        <v>112</v>
      </c>
      <c r="O4" s="4">
        <v>2830</v>
      </c>
      <c r="Q4" s="1" t="s">
        <v>224</v>
      </c>
      <c r="R4" s="11">
        <v>32</v>
      </c>
      <c r="S4" s="16" t="s">
        <v>227</v>
      </c>
      <c r="T4" s="10" t="s">
        <v>231</v>
      </c>
    </row>
    <row r="5" spans="1:20" x14ac:dyDescent="0.15">
      <c r="A5" s="3" t="s">
        <v>21</v>
      </c>
      <c r="B5" s="1" t="s">
        <v>10</v>
      </c>
      <c r="C5" s="4">
        <v>11</v>
      </c>
      <c r="E5" s="3" t="s">
        <v>22</v>
      </c>
      <c r="F5" s="1" t="s">
        <v>10</v>
      </c>
      <c r="G5" s="4">
        <v>14</v>
      </c>
      <c r="I5" s="3" t="s">
        <v>21</v>
      </c>
      <c r="J5" s="1" t="s">
        <v>2</v>
      </c>
      <c r="K5" s="4">
        <v>747</v>
      </c>
      <c r="M5" s="37" t="s">
        <v>113</v>
      </c>
      <c r="N5" s="1" t="s">
        <v>84</v>
      </c>
      <c r="O5" s="18">
        <f>VLOOKUP(N1,词缀!A8:B12,2,0)</f>
        <v>1.05</v>
      </c>
      <c r="Q5" s="1" t="s">
        <v>225</v>
      </c>
      <c r="R5" s="11">
        <v>30</v>
      </c>
      <c r="S5" s="16" t="s">
        <v>229</v>
      </c>
      <c r="T5" s="10">
        <f>2000+40*R5</f>
        <v>3200</v>
      </c>
    </row>
    <row r="6" spans="1:20" x14ac:dyDescent="0.15">
      <c r="A6" s="3" t="s">
        <v>23</v>
      </c>
      <c r="B6" s="1" t="s">
        <v>14</v>
      </c>
      <c r="C6" s="4">
        <v>8</v>
      </c>
      <c r="E6" s="3" t="s">
        <v>24</v>
      </c>
      <c r="F6" s="1" t="s">
        <v>12</v>
      </c>
      <c r="G6" s="4">
        <v>1</v>
      </c>
      <c r="I6" s="3" t="s">
        <v>23</v>
      </c>
      <c r="J6" s="1" t="s">
        <v>12</v>
      </c>
      <c r="K6" s="4">
        <v>1</v>
      </c>
      <c r="M6" s="37"/>
      <c r="N6" s="1" t="s">
        <v>184</v>
      </c>
      <c r="O6" s="17">
        <f>O3/(1+统计!$H$18/100)-O8</f>
        <v>1701.7272727272725</v>
      </c>
      <c r="Q6" s="1" t="s">
        <v>226</v>
      </c>
      <c r="R6" s="11">
        <v>30</v>
      </c>
      <c r="S6" s="16" t="s">
        <v>227</v>
      </c>
      <c r="T6" s="10">
        <f>1200+30*R3</f>
        <v>2100</v>
      </c>
    </row>
    <row r="7" spans="1:20" x14ac:dyDescent="0.15">
      <c r="E7" s="3" t="s">
        <v>29</v>
      </c>
      <c r="F7" s="1" t="s">
        <v>30</v>
      </c>
      <c r="G7" s="4">
        <v>100</v>
      </c>
      <c r="I7" s="3" t="s">
        <v>37</v>
      </c>
      <c r="J7" s="1" t="s">
        <v>30</v>
      </c>
      <c r="K7" s="4"/>
      <c r="M7" s="37"/>
      <c r="N7" s="1" t="s">
        <v>185</v>
      </c>
      <c r="O7" s="17">
        <f>O4/(1+统计!$H$18/100)-O9</f>
        <v>1136.7272727272725</v>
      </c>
    </row>
    <row r="8" spans="1:20" x14ac:dyDescent="0.15">
      <c r="A8" s="2" t="s">
        <v>55</v>
      </c>
      <c r="B8" s="39" t="s">
        <v>63</v>
      </c>
      <c r="C8" s="39"/>
      <c r="F8" s="1" t="s">
        <v>62</v>
      </c>
      <c r="G8" s="4">
        <f>12.5*(1+VLOOKUP(F7,词缀!H10:I11,2,0)*G7/100)</f>
        <v>12.5</v>
      </c>
      <c r="M8" s="37" t="s">
        <v>18</v>
      </c>
      <c r="N8" s="1" t="s">
        <v>182</v>
      </c>
      <c r="O8" s="4">
        <v>1701</v>
      </c>
      <c r="Q8" s="13" t="s">
        <v>232</v>
      </c>
      <c r="R8" s="14" t="s">
        <v>234</v>
      </c>
      <c r="S8" s="14" t="s">
        <v>233</v>
      </c>
      <c r="T8" s="13" t="s">
        <v>234</v>
      </c>
    </row>
    <row r="9" spans="1:20" x14ac:dyDescent="0.15">
      <c r="A9" s="40" t="s">
        <v>25</v>
      </c>
      <c r="B9" s="40"/>
      <c r="C9" s="5" t="s">
        <v>27</v>
      </c>
      <c r="I9" s="2" t="s">
        <v>70</v>
      </c>
      <c r="J9" s="39" t="s">
        <v>72</v>
      </c>
      <c r="K9" s="39"/>
      <c r="M9" s="37"/>
      <c r="N9" s="1" t="s">
        <v>183</v>
      </c>
      <c r="O9" s="4">
        <v>1436</v>
      </c>
      <c r="Q9" s="12" t="s">
        <v>235</v>
      </c>
      <c r="R9" s="16" t="s">
        <v>243</v>
      </c>
      <c r="S9" s="1" t="s">
        <v>239</v>
      </c>
      <c r="T9" s="16" t="s">
        <v>227</v>
      </c>
    </row>
    <row r="10" spans="1:20" x14ac:dyDescent="0.15">
      <c r="A10" s="3" t="s">
        <v>17</v>
      </c>
      <c r="B10" s="1" t="s">
        <v>2</v>
      </c>
      <c r="C10" s="4">
        <v>710</v>
      </c>
      <c r="E10" s="2" t="s">
        <v>43</v>
      </c>
      <c r="F10" s="39" t="s">
        <v>44</v>
      </c>
      <c r="G10" s="39"/>
      <c r="I10" s="40" t="s">
        <v>25</v>
      </c>
      <c r="J10" s="40"/>
      <c r="K10" s="5" t="s">
        <v>27</v>
      </c>
      <c r="M10" s="7" t="s">
        <v>20</v>
      </c>
      <c r="N10" s="1" t="s">
        <v>2</v>
      </c>
      <c r="O10" s="4">
        <v>961</v>
      </c>
      <c r="Q10" s="12" t="s">
        <v>236</v>
      </c>
      <c r="R10" s="16" t="s">
        <v>229</v>
      </c>
      <c r="S10" s="1" t="s">
        <v>240</v>
      </c>
      <c r="T10" s="16" t="s">
        <v>229</v>
      </c>
    </row>
    <row r="11" spans="1:20" x14ac:dyDescent="0.15">
      <c r="A11" s="3" t="s">
        <v>19</v>
      </c>
      <c r="B11" s="1" t="s">
        <v>8</v>
      </c>
      <c r="C11" s="4">
        <v>9.5</v>
      </c>
      <c r="E11" s="40" t="s">
        <v>50</v>
      </c>
      <c r="F11" s="40"/>
      <c r="G11" s="5" t="s">
        <v>28</v>
      </c>
      <c r="I11" s="3" t="s">
        <v>17</v>
      </c>
      <c r="J11" s="1" t="s">
        <v>40</v>
      </c>
      <c r="K11" s="4">
        <v>20</v>
      </c>
      <c r="M11" s="7" t="s">
        <v>21</v>
      </c>
      <c r="N11" s="1" t="s">
        <v>107</v>
      </c>
      <c r="O11" s="4">
        <v>10</v>
      </c>
      <c r="Q11" s="12" t="s">
        <v>237</v>
      </c>
      <c r="R11" s="16" t="s">
        <v>229</v>
      </c>
      <c r="S11" s="1" t="s">
        <v>241</v>
      </c>
      <c r="T11" s="16" t="s">
        <v>227</v>
      </c>
    </row>
    <row r="12" spans="1:20" x14ac:dyDescent="0.15">
      <c r="A12" s="3" t="s">
        <v>21</v>
      </c>
      <c r="B12" s="1" t="s">
        <v>38</v>
      </c>
      <c r="C12" s="4">
        <v>45</v>
      </c>
      <c r="E12" s="3" t="s">
        <v>18</v>
      </c>
      <c r="F12" s="1" t="s">
        <v>2</v>
      </c>
      <c r="G12" s="4">
        <v>471</v>
      </c>
      <c r="I12" s="3" t="s">
        <v>19</v>
      </c>
      <c r="J12" s="1" t="s">
        <v>2</v>
      </c>
      <c r="K12" s="4">
        <v>492</v>
      </c>
      <c r="M12" s="7" t="s">
        <v>23</v>
      </c>
      <c r="N12" s="1" t="s">
        <v>40</v>
      </c>
      <c r="O12" s="4">
        <v>30</v>
      </c>
      <c r="Q12" s="12" t="s">
        <v>238</v>
      </c>
      <c r="R12" s="16" t="s">
        <v>229</v>
      </c>
      <c r="S12" s="1" t="s">
        <v>244</v>
      </c>
      <c r="T12" s="16" t="s">
        <v>227</v>
      </c>
    </row>
    <row r="13" spans="1:20" x14ac:dyDescent="0.15">
      <c r="A13" s="3" t="s">
        <v>23</v>
      </c>
      <c r="B13" s="1" t="s">
        <v>14</v>
      </c>
      <c r="C13" s="4">
        <v>8</v>
      </c>
      <c r="E13" s="3" t="s">
        <v>19</v>
      </c>
      <c r="F13" s="1" t="s">
        <v>4</v>
      </c>
      <c r="G13" s="4"/>
      <c r="I13" s="3" t="s">
        <v>21</v>
      </c>
      <c r="J13" s="1" t="s">
        <v>4</v>
      </c>
      <c r="K13" s="4"/>
      <c r="M13" s="7" t="s">
        <v>37</v>
      </c>
      <c r="N13" s="1" t="s">
        <v>13</v>
      </c>
      <c r="O13" s="18">
        <v>1</v>
      </c>
      <c r="S13" s="1" t="s">
        <v>277</v>
      </c>
      <c r="T13" s="16" t="s">
        <v>227</v>
      </c>
    </row>
    <row r="14" spans="1:20" x14ac:dyDescent="0.15">
      <c r="E14" s="3" t="s">
        <v>21</v>
      </c>
      <c r="F14" s="1" t="s">
        <v>10</v>
      </c>
      <c r="G14" s="4">
        <v>15</v>
      </c>
      <c r="I14" s="3" t="s">
        <v>23</v>
      </c>
      <c r="J14" s="1" t="s">
        <v>8</v>
      </c>
      <c r="K14" s="4">
        <v>6</v>
      </c>
      <c r="M14" s="7"/>
      <c r="N14" s="1" t="s">
        <v>39</v>
      </c>
      <c r="O14" s="18">
        <v>130</v>
      </c>
    </row>
    <row r="15" spans="1:20" x14ac:dyDescent="0.15">
      <c r="A15" s="2" t="s">
        <v>76</v>
      </c>
      <c r="B15" s="39" t="s">
        <v>79</v>
      </c>
      <c r="C15" s="39"/>
      <c r="E15" s="3" t="s">
        <v>23</v>
      </c>
      <c r="F15" s="1" t="s">
        <v>12</v>
      </c>
      <c r="G15" s="4">
        <v>3</v>
      </c>
      <c r="I15" s="3" t="s">
        <v>175</v>
      </c>
      <c r="J15" s="1" t="s">
        <v>179</v>
      </c>
      <c r="K15" s="4">
        <v>29</v>
      </c>
      <c r="M15" s="7" t="s">
        <v>115</v>
      </c>
      <c r="N15" s="1" t="s">
        <v>30</v>
      </c>
      <c r="O15" s="4">
        <v>0</v>
      </c>
    </row>
    <row r="16" spans="1:20" x14ac:dyDescent="0.15">
      <c r="A16" s="40" t="s">
        <v>25</v>
      </c>
      <c r="B16" s="40"/>
      <c r="C16" s="5" t="s">
        <v>27</v>
      </c>
      <c r="E16" s="3" t="s">
        <v>54</v>
      </c>
      <c r="F16" s="1" t="s">
        <v>2</v>
      </c>
      <c r="G16" s="4">
        <f>LOOKUP(F16,{"力量","全抗","无"},{840,234,0})</f>
        <v>840</v>
      </c>
    </row>
    <row r="17" spans="1:14" x14ac:dyDescent="0.15">
      <c r="A17" s="3" t="s">
        <v>17</v>
      </c>
      <c r="B17" s="1" t="s">
        <v>40</v>
      </c>
      <c r="C17" s="4">
        <v>19</v>
      </c>
      <c r="I17" s="2" t="s">
        <v>77</v>
      </c>
      <c r="J17" s="39" t="s">
        <v>251</v>
      </c>
      <c r="K17" s="39"/>
      <c r="M17" s="38" t="s">
        <v>164</v>
      </c>
      <c r="N17" s="38"/>
    </row>
    <row r="18" spans="1:14" x14ac:dyDescent="0.15">
      <c r="A18" s="3" t="s">
        <v>19</v>
      </c>
      <c r="B18" s="1" t="s">
        <v>2</v>
      </c>
      <c r="C18" s="4">
        <v>481</v>
      </c>
      <c r="E18" s="2" t="s">
        <v>71</v>
      </c>
      <c r="F18" s="39" t="s">
        <v>203</v>
      </c>
      <c r="G18" s="39"/>
      <c r="I18" s="40" t="s">
        <v>25</v>
      </c>
      <c r="J18" s="40"/>
      <c r="K18" s="5" t="s">
        <v>27</v>
      </c>
      <c r="M18" s="1" t="s">
        <v>154</v>
      </c>
      <c r="N18" s="4">
        <v>0</v>
      </c>
    </row>
    <row r="19" spans="1:14" x14ac:dyDescent="0.15">
      <c r="A19" s="3" t="s">
        <v>21</v>
      </c>
      <c r="B19" s="1" t="s">
        <v>67</v>
      </c>
      <c r="C19" s="4">
        <v>30</v>
      </c>
      <c r="E19" s="40" t="s">
        <v>25</v>
      </c>
      <c r="F19" s="40"/>
      <c r="G19" s="5" t="s">
        <v>27</v>
      </c>
      <c r="I19" s="3" t="s">
        <v>17</v>
      </c>
      <c r="J19" s="1" t="s">
        <v>2</v>
      </c>
      <c r="K19" s="4">
        <v>440</v>
      </c>
      <c r="M19" s="1" t="s">
        <v>166</v>
      </c>
      <c r="N19" s="4"/>
    </row>
    <row r="20" spans="1:14" x14ac:dyDescent="0.15">
      <c r="A20" s="3" t="s">
        <v>23</v>
      </c>
      <c r="B20" s="1" t="s">
        <v>12</v>
      </c>
      <c r="C20" s="4">
        <v>1</v>
      </c>
      <c r="E20" s="3" t="s">
        <v>17</v>
      </c>
      <c r="F20" s="1" t="s">
        <v>2</v>
      </c>
      <c r="G20" s="4">
        <v>481</v>
      </c>
      <c r="I20" s="3" t="s">
        <v>19</v>
      </c>
      <c r="J20" s="1" t="s">
        <v>8</v>
      </c>
      <c r="K20" s="4">
        <v>6</v>
      </c>
      <c r="M20" s="1" t="s">
        <v>167</v>
      </c>
      <c r="N20" s="4"/>
    </row>
    <row r="21" spans="1:14" x14ac:dyDescent="0.15">
      <c r="E21" s="3" t="s">
        <v>19</v>
      </c>
      <c r="F21" s="1" t="s">
        <v>4</v>
      </c>
      <c r="G21" s="4"/>
      <c r="I21" s="3" t="s">
        <v>21</v>
      </c>
      <c r="J21" s="1" t="s">
        <v>67</v>
      </c>
      <c r="K21" s="4">
        <v>15</v>
      </c>
      <c r="M21" s="1" t="s">
        <v>168</v>
      </c>
      <c r="N21" s="4"/>
    </row>
    <row r="22" spans="1:14" x14ac:dyDescent="0.15">
      <c r="A22" s="2" t="s">
        <v>86</v>
      </c>
      <c r="B22" s="39" t="s">
        <v>87</v>
      </c>
      <c r="C22" s="39"/>
      <c r="E22" s="3" t="s">
        <v>21</v>
      </c>
      <c r="F22" s="1" t="s">
        <v>6</v>
      </c>
      <c r="G22" s="4">
        <v>7</v>
      </c>
      <c r="I22" s="3" t="s">
        <v>23</v>
      </c>
      <c r="J22" s="1" t="s">
        <v>14</v>
      </c>
      <c r="K22" s="4">
        <v>8</v>
      </c>
      <c r="M22" s="1" t="s">
        <v>169</v>
      </c>
      <c r="N22" s="4">
        <v>2.1</v>
      </c>
    </row>
    <row r="23" spans="1:14" x14ac:dyDescent="0.15">
      <c r="A23" s="40" t="s">
        <v>25</v>
      </c>
      <c r="B23" s="40"/>
      <c r="C23" s="5" t="s">
        <v>27</v>
      </c>
      <c r="E23" s="3" t="s">
        <v>23</v>
      </c>
      <c r="F23" s="1" t="s">
        <v>14</v>
      </c>
      <c r="G23" s="4">
        <v>8</v>
      </c>
      <c r="M23" s="1" t="s">
        <v>170</v>
      </c>
      <c r="N23" s="4">
        <v>50</v>
      </c>
    </row>
    <row r="24" spans="1:14" x14ac:dyDescent="0.15">
      <c r="A24" s="3" t="s">
        <v>17</v>
      </c>
      <c r="B24" s="1" t="s">
        <v>2</v>
      </c>
      <c r="C24" s="4">
        <v>473</v>
      </c>
      <c r="I24" s="2" t="s">
        <v>96</v>
      </c>
      <c r="J24" s="39" t="s">
        <v>137</v>
      </c>
      <c r="K24" s="39"/>
      <c r="M24" s="1" t="s">
        <v>171</v>
      </c>
      <c r="N24" s="4">
        <v>10</v>
      </c>
    </row>
    <row r="25" spans="1:14" x14ac:dyDescent="0.15">
      <c r="A25" s="3" t="s">
        <v>19</v>
      </c>
      <c r="B25" s="1" t="s">
        <v>4</v>
      </c>
      <c r="C25" s="4"/>
      <c r="E25" s="2" t="s">
        <v>91</v>
      </c>
      <c r="F25" s="39" t="s">
        <v>92</v>
      </c>
      <c r="G25" s="39"/>
      <c r="I25" s="40" t="s">
        <v>25</v>
      </c>
      <c r="J25" s="40"/>
      <c r="K25" s="5" t="s">
        <v>27</v>
      </c>
      <c r="M25" s="1" t="s">
        <v>172</v>
      </c>
      <c r="N25" s="4"/>
    </row>
    <row r="26" spans="1:14" x14ac:dyDescent="0.15">
      <c r="A26" s="3" t="s">
        <v>21</v>
      </c>
      <c r="B26" s="1" t="s">
        <v>46</v>
      </c>
      <c r="C26" s="4"/>
      <c r="E26" s="40" t="s">
        <v>25</v>
      </c>
      <c r="F26" s="40"/>
      <c r="G26" s="5" t="s">
        <v>27</v>
      </c>
      <c r="I26" s="3" t="s">
        <v>17</v>
      </c>
      <c r="J26" s="1" t="s">
        <v>40</v>
      </c>
      <c r="K26" s="4">
        <v>20</v>
      </c>
      <c r="M26" s="1" t="s">
        <v>173</v>
      </c>
      <c r="N26" s="4"/>
    </row>
    <row r="27" spans="1:14" x14ac:dyDescent="0.15">
      <c r="A27" s="3" t="s">
        <v>23</v>
      </c>
      <c r="B27" s="1" t="s">
        <v>12</v>
      </c>
      <c r="C27" s="4">
        <v>2</v>
      </c>
      <c r="E27" s="3" t="s">
        <v>17</v>
      </c>
      <c r="F27" s="1" t="s">
        <v>2</v>
      </c>
      <c r="G27" s="4">
        <v>424</v>
      </c>
      <c r="I27" s="3" t="s">
        <v>19</v>
      </c>
      <c r="J27" s="1" t="s">
        <v>8</v>
      </c>
      <c r="K27" s="4">
        <v>8.5</v>
      </c>
    </row>
    <row r="28" spans="1:14" x14ac:dyDescent="0.15">
      <c r="A28" s="3" t="s">
        <v>29</v>
      </c>
      <c r="B28" s="1" t="s">
        <v>30</v>
      </c>
      <c r="C28" s="4">
        <f>LOOKUP(B28,{"力量","全抗","无"},{560,156,0})</f>
        <v>0</v>
      </c>
      <c r="E28" s="3" t="s">
        <v>19</v>
      </c>
      <c r="F28" s="1" t="s">
        <v>4</v>
      </c>
      <c r="G28" s="4"/>
      <c r="I28" s="3" t="s">
        <v>21</v>
      </c>
      <c r="J28" s="1" t="s">
        <v>14</v>
      </c>
      <c r="K28" s="4">
        <v>7</v>
      </c>
      <c r="M28" s="38" t="s">
        <v>165</v>
      </c>
      <c r="N28" s="38"/>
    </row>
    <row r="29" spans="1:14" x14ac:dyDescent="0.15">
      <c r="A29" s="3" t="s">
        <v>54</v>
      </c>
      <c r="B29" s="1" t="s">
        <v>2</v>
      </c>
      <c r="C29" s="4">
        <f>LOOKUP(B29,{"力量","全抗","无"},{560,156,0})</f>
        <v>560</v>
      </c>
      <c r="E29" s="3" t="s">
        <v>21</v>
      </c>
      <c r="F29" s="1" t="s">
        <v>94</v>
      </c>
      <c r="G29" s="4"/>
      <c r="I29" s="3" t="s">
        <v>23</v>
      </c>
      <c r="J29" s="1" t="s">
        <v>10</v>
      </c>
      <c r="K29" s="4">
        <v>12</v>
      </c>
      <c r="M29" s="1" t="s">
        <v>174</v>
      </c>
      <c r="N29" s="4">
        <v>217</v>
      </c>
    </row>
    <row r="30" spans="1:14" x14ac:dyDescent="0.15">
      <c r="E30" s="3" t="s">
        <v>23</v>
      </c>
      <c r="F30" s="1" t="s">
        <v>10</v>
      </c>
      <c r="G30" s="4">
        <v>14</v>
      </c>
      <c r="I30" s="3" t="s">
        <v>100</v>
      </c>
      <c r="J30" s="1" t="s">
        <v>30</v>
      </c>
      <c r="K30" s="4">
        <f>LOOKUP(J30,{"双手增伤","无"},{10,0})</f>
        <v>0</v>
      </c>
      <c r="M30" s="1" t="s">
        <v>166</v>
      </c>
      <c r="N30" s="4"/>
    </row>
    <row r="31" spans="1:14" x14ac:dyDescent="0.15">
      <c r="M31" s="1" t="s">
        <v>173</v>
      </c>
      <c r="N31" s="4"/>
    </row>
    <row r="32" spans="1:14" x14ac:dyDescent="0.15">
      <c r="M32" s="1" t="s">
        <v>169</v>
      </c>
      <c r="N32" s="4">
        <v>5</v>
      </c>
    </row>
    <row r="33" spans="13:14" ht="13.5" customHeight="1" x14ac:dyDescent="0.15">
      <c r="M33" s="1" t="s">
        <v>170</v>
      </c>
      <c r="N33" s="4">
        <v>50</v>
      </c>
    </row>
  </sheetData>
  <dataConsolidate/>
  <mergeCells count="31">
    <mergeCell ref="I18:J18"/>
    <mergeCell ref="B22:C22"/>
    <mergeCell ref="A23:B23"/>
    <mergeCell ref="F25:G25"/>
    <mergeCell ref="E26:F26"/>
    <mergeCell ref="J24:K24"/>
    <mergeCell ref="I25:J25"/>
    <mergeCell ref="J1:K1"/>
    <mergeCell ref="I2:J2"/>
    <mergeCell ref="B15:C15"/>
    <mergeCell ref="A16:B16"/>
    <mergeCell ref="J17:K17"/>
    <mergeCell ref="I10:J10"/>
    <mergeCell ref="F1:G1"/>
    <mergeCell ref="E2:F2"/>
    <mergeCell ref="M3:M4"/>
    <mergeCell ref="M8:M9"/>
    <mergeCell ref="M5:M7"/>
    <mergeCell ref="M28:N28"/>
    <mergeCell ref="B1:C1"/>
    <mergeCell ref="A2:B2"/>
    <mergeCell ref="A9:B9"/>
    <mergeCell ref="B8:C8"/>
    <mergeCell ref="M17:N17"/>
    <mergeCell ref="F10:G10"/>
    <mergeCell ref="E11:F11"/>
    <mergeCell ref="N1:O1"/>
    <mergeCell ref="M2:N2"/>
    <mergeCell ref="F18:G18"/>
    <mergeCell ref="E19:F19"/>
    <mergeCell ref="J9:K9"/>
  </mergeCells>
  <phoneticPr fontId="1" type="noConversion"/>
  <dataValidations count="13">
    <dataValidation type="list" allowBlank="1" showInputMessage="1" showErrorMessage="1" sqref="B10:B13">
      <formula1>INDIRECT($B$8)</formula1>
    </dataValidation>
    <dataValidation type="list" allowBlank="1" showInputMessage="1" showErrorMessage="1" sqref="F20:F23">
      <formula1>INDIRECT($F$18)</formula1>
    </dataValidation>
    <dataValidation type="list" allowBlank="1" showInputMessage="1" showErrorMessage="1" sqref="B17:B20">
      <formula1>INDIRECT($B$15)</formula1>
    </dataValidation>
    <dataValidation type="list" allowBlank="1" showInputMessage="1" showErrorMessage="1" sqref="J19:J22">
      <formula1>INDIRECT($J$17)</formula1>
    </dataValidation>
    <dataValidation type="list" allowBlank="1" showInputMessage="1" showErrorMessage="1" sqref="B24:B28">
      <formula1>INDIRECT($B$22)</formula1>
    </dataValidation>
    <dataValidation type="list" allowBlank="1" showInputMessage="1" showErrorMessage="1" sqref="F27:F30">
      <formula1>INDIRECT($F$25)</formula1>
    </dataValidation>
    <dataValidation type="list" allowBlank="1" showInputMessage="1" showErrorMessage="1" sqref="J26:J29">
      <formula1>INDIRECT($J$24)</formula1>
    </dataValidation>
    <dataValidation type="list" allowBlank="1" showInputMessage="1" showErrorMessage="1" sqref="B3:B6">
      <formula1>INDIRECT($B$1)</formula1>
    </dataValidation>
    <dataValidation type="list" allowBlank="1" showInputMessage="1" showErrorMessage="1" sqref="F3:F7">
      <formula1>INDIRECT($F$1)</formula1>
    </dataValidation>
    <dataValidation type="list" allowBlank="1" showInputMessage="1" showErrorMessage="1" sqref="J3:J7">
      <formula1>INDIRECT($J$1)</formula1>
    </dataValidation>
    <dataValidation type="list" allowBlank="1" showInputMessage="1" showErrorMessage="1" sqref="F12:F15">
      <formula1>INDIRECT($F$10)</formula1>
    </dataValidation>
    <dataValidation type="list" allowBlank="1" showInputMessage="1" showErrorMessage="1" sqref="J11:J15">
      <formula1>INDIRECT($J$9)</formula1>
    </dataValidation>
    <dataValidation type="list" allowBlank="1" showInputMessage="1" showErrorMessage="1" sqref="N10:N12 N15">
      <formula1>INDIRECT($N$1)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词缀!$C$1</xm:f>
          </x14:formula1>
          <xm:sqref>J1:K1</xm:sqref>
        </x14:dataValidation>
        <x14:dataValidation type="list" allowBlank="1" showInputMessage="1" showErrorMessage="1">
          <x14:formula1>
            <xm:f>词缀!$D$1</xm:f>
          </x14:formula1>
          <xm:sqref>F10:G10</xm:sqref>
        </x14:dataValidation>
        <x14:dataValidation type="list" allowBlank="1" showInputMessage="1" showErrorMessage="1">
          <x14:formula1>
            <xm:f>词缀!$E$1:$E$3</xm:f>
          </x14:formula1>
          <xm:sqref>F16 B29</xm:sqref>
        </x14:dataValidation>
        <x14:dataValidation type="list" allowBlank="1" showInputMessage="1" showErrorMessage="1">
          <x14:formula1>
            <xm:f>词缀!$J$1:$K$1</xm:f>
          </x14:formula1>
          <xm:sqref>J9:K9</xm:sqref>
        </x14:dataValidation>
        <x14:dataValidation type="list" allowBlank="1" showInputMessage="1" showErrorMessage="1">
          <x14:formula1>
            <xm:f>词缀!$L$1:$N$1</xm:f>
          </x14:formula1>
          <xm:sqref>B15:C15 J17:K17</xm:sqref>
        </x14:dataValidation>
        <x14:dataValidation type="list" allowBlank="1" showInputMessage="1" showErrorMessage="1">
          <x14:formula1>
            <xm:f>词缀!$O$1:$P$1</xm:f>
          </x14:formula1>
          <xm:sqref>B22:C22</xm:sqref>
        </x14:dataValidation>
        <x14:dataValidation type="list" allowBlank="1" showInputMessage="1" showErrorMessage="1">
          <x14:formula1>
            <xm:f>词缀!$E$5:$E$6</xm:f>
          </x14:formula1>
          <xm:sqref>J30</xm:sqref>
        </x14:dataValidation>
        <x14:dataValidation type="list" allowBlank="1" showInputMessage="1" showErrorMessage="1">
          <x14:formula1>
            <xm:f>词缀!$Q$1</xm:f>
          </x14:formula1>
          <xm:sqref>F25:G25</xm:sqref>
        </x14:dataValidation>
        <x14:dataValidation type="list" allowBlank="1" showInputMessage="1" showErrorMessage="1">
          <x14:formula1>
            <xm:f>词缀!$G$1:$I$1</xm:f>
          </x14:formula1>
          <xm:sqref>F18:G18</xm:sqref>
        </x14:dataValidation>
        <x14:dataValidation type="list" allowBlank="1" showInputMessage="1" showErrorMessage="1">
          <x14:formula1>
            <xm:f>词缀!$E$8:$E$9</xm:f>
          </x14:formula1>
          <xm:sqref>S2:S6 R9:R12 T9:T13</xm:sqref>
        </x14:dataValidation>
        <x14:dataValidation type="list" allowBlank="1" showInputMessage="1" showErrorMessage="1">
          <x14:formula1>
            <xm:f>词缀!$T$1:$X$1</xm:f>
          </x14:formula1>
          <xm:sqref>N1:O1</xm:sqref>
        </x14:dataValidation>
        <x14:dataValidation type="list" allowBlank="1" showInputMessage="1" showErrorMessage="1">
          <x14:formula1>
            <xm:f>词缀!$R$1:$S$1</xm:f>
          </x14:formula1>
          <xm:sqref>J24:K24</xm:sqref>
        </x14:dataValidation>
        <x14:dataValidation type="list" allowBlank="1" showInputMessage="1" showErrorMessage="1">
          <x14:formula1>
            <xm:f>词缀!$C$12:$D$12</xm:f>
          </x14:formula1>
          <xm:sqref>F1</xm:sqref>
        </x14:dataValidation>
        <x14:dataValidation type="list" allowBlank="1" showInputMessage="1" showErrorMessage="1">
          <x14:formula1>
            <xm:f>词缀!$F$12</xm:f>
          </x14:formula1>
          <xm:sqref>B1:C1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D13" sqref="D13"/>
    </sheetView>
  </sheetViews>
  <sheetFormatPr defaultRowHeight="13.5" x14ac:dyDescent="0.15"/>
  <cols>
    <col min="1" max="4" width="14.625" customWidth="1"/>
    <col min="5" max="5" width="3.625" customWidth="1"/>
    <col min="7" max="7" width="9.625" bestFit="1" customWidth="1"/>
    <col min="8" max="8" width="3.625" customWidth="1"/>
    <col min="9" max="12" width="14.625" customWidth="1"/>
  </cols>
  <sheetData>
    <row r="1" spans="1:14" x14ac:dyDescent="0.15">
      <c r="A1" s="43" t="s">
        <v>266</v>
      </c>
      <c r="B1" s="43"/>
      <c r="C1" s="43"/>
      <c r="D1" s="43"/>
      <c r="F1" s="38" t="s">
        <v>199</v>
      </c>
      <c r="G1" s="38"/>
      <c r="I1" s="42" t="s">
        <v>310</v>
      </c>
      <c r="J1" s="42"/>
      <c r="K1" s="42"/>
      <c r="L1" s="42"/>
      <c r="M1" s="42"/>
      <c r="N1" s="15"/>
    </row>
    <row r="2" spans="1:14" x14ac:dyDescent="0.15">
      <c r="A2" s="41" t="s">
        <v>269</v>
      </c>
      <c r="B2" s="41"/>
      <c r="C2" s="44" t="s">
        <v>270</v>
      </c>
      <c r="D2" s="44"/>
      <c r="F2" s="8" t="s">
        <v>189</v>
      </c>
      <c r="G2" s="9" t="s">
        <v>190</v>
      </c>
      <c r="I2" s="42" t="s">
        <v>311</v>
      </c>
      <c r="J2" s="42"/>
      <c r="K2" s="42" t="s">
        <v>312</v>
      </c>
      <c r="L2" s="42"/>
      <c r="M2" t="s">
        <v>313</v>
      </c>
    </row>
    <row r="3" spans="1:14" x14ac:dyDescent="0.15">
      <c r="A3" s="1" t="s">
        <v>267</v>
      </c>
      <c r="B3" s="19">
        <f>统计!B21</f>
        <v>10167.33</v>
      </c>
      <c r="C3" s="1" t="s">
        <v>282</v>
      </c>
      <c r="D3" s="14"/>
      <c r="F3" s="1" t="s">
        <v>191</v>
      </c>
      <c r="G3" s="4">
        <v>1788</v>
      </c>
      <c r="I3" t="s">
        <v>268</v>
      </c>
      <c r="K3" t="s">
        <v>268</v>
      </c>
    </row>
    <row r="4" spans="1:14" x14ac:dyDescent="0.15">
      <c r="A4" s="1" t="s">
        <v>271</v>
      </c>
      <c r="B4" s="20">
        <f>统计!H12/100</f>
        <v>0.45600000000000002</v>
      </c>
      <c r="C4" s="1" t="s">
        <v>283</v>
      </c>
      <c r="D4" s="14"/>
      <c r="F4" s="1" t="s">
        <v>192</v>
      </c>
      <c r="G4" s="4">
        <v>1439</v>
      </c>
      <c r="I4" t="s">
        <v>2</v>
      </c>
      <c r="J4">
        <v>10920.97</v>
      </c>
      <c r="K4" t="s">
        <v>2</v>
      </c>
      <c r="L4">
        <v>10920.97</v>
      </c>
      <c r="M4" s="26">
        <f t="shared" ref="M4:M15" si="0">(L4-J4)/J4</f>
        <v>0</v>
      </c>
    </row>
    <row r="5" spans="1:14" x14ac:dyDescent="0.15">
      <c r="A5" s="1" t="s">
        <v>272</v>
      </c>
      <c r="B5" s="20">
        <f>统计!J11/100</f>
        <v>3.75</v>
      </c>
      <c r="C5" s="1" t="s">
        <v>284</v>
      </c>
      <c r="D5" s="14"/>
      <c r="F5" s="1" t="s">
        <v>193</v>
      </c>
      <c r="G5" s="4">
        <v>10</v>
      </c>
      <c r="I5" t="s">
        <v>8</v>
      </c>
      <c r="J5">
        <v>0.51600000000000001</v>
      </c>
      <c r="K5" t="s">
        <v>8</v>
      </c>
      <c r="L5">
        <v>0.51600000000000001</v>
      </c>
      <c r="M5" s="26">
        <f t="shared" si="0"/>
        <v>0</v>
      </c>
    </row>
    <row r="6" spans="1:14" x14ac:dyDescent="0.15">
      <c r="A6" s="1" t="s">
        <v>279</v>
      </c>
      <c r="B6" s="21">
        <f>装备!O5*(1+统计!P11/100)</f>
        <v>1.1340000000000001</v>
      </c>
      <c r="C6" s="1" t="s">
        <v>285</v>
      </c>
      <c r="D6" s="14"/>
      <c r="F6" s="1" t="s">
        <v>194</v>
      </c>
      <c r="G6" s="4">
        <v>0</v>
      </c>
      <c r="I6" t="s">
        <v>38</v>
      </c>
      <c r="J6">
        <v>3.75</v>
      </c>
      <c r="K6" t="s">
        <v>38</v>
      </c>
      <c r="L6">
        <v>3.75</v>
      </c>
      <c r="M6" s="26">
        <f t="shared" si="0"/>
        <v>0</v>
      </c>
    </row>
    <row r="7" spans="1:14" x14ac:dyDescent="0.15">
      <c r="A7" s="1" t="s">
        <v>257</v>
      </c>
      <c r="B7" s="21">
        <f>装备!O5*(1+统计!P12/100)</f>
        <v>1.2915000000000001</v>
      </c>
      <c r="C7" s="1" t="s">
        <v>286</v>
      </c>
      <c r="D7" s="14"/>
      <c r="F7" s="8" t="s">
        <v>200</v>
      </c>
      <c r="G7" s="9" t="s">
        <v>201</v>
      </c>
      <c r="I7" t="s">
        <v>254</v>
      </c>
      <c r="J7">
        <v>1.242</v>
      </c>
      <c r="K7" t="s">
        <v>254</v>
      </c>
      <c r="L7">
        <v>1.242</v>
      </c>
      <c r="M7" s="26">
        <f t="shared" si="0"/>
        <v>0</v>
      </c>
    </row>
    <row r="8" spans="1:14" x14ac:dyDescent="0.15">
      <c r="A8" s="1" t="s">
        <v>273</v>
      </c>
      <c r="B8" s="20">
        <f>统计!R9/100</f>
        <v>0.89</v>
      </c>
      <c r="C8" s="1" t="s">
        <v>287</v>
      </c>
      <c r="D8" s="14"/>
      <c r="F8" s="1" t="s">
        <v>195</v>
      </c>
      <c r="G8" s="35">
        <f>(统计!I13+G3)*(1+$G$5/100)</f>
        <v>3839.0000000000005</v>
      </c>
      <c r="I8" t="s">
        <v>256</v>
      </c>
      <c r="J8">
        <v>1.4144999999999999</v>
      </c>
      <c r="K8" t="s">
        <v>256</v>
      </c>
      <c r="L8">
        <v>1.4144999999999999</v>
      </c>
      <c r="M8" s="26">
        <f t="shared" si="0"/>
        <v>0</v>
      </c>
    </row>
    <row r="9" spans="1:14" x14ac:dyDescent="0.15">
      <c r="A9" s="1" t="s">
        <v>274</v>
      </c>
      <c r="B9" s="20">
        <f>统计!F8/100</f>
        <v>0.86</v>
      </c>
      <c r="F9" s="1" t="s">
        <v>196</v>
      </c>
      <c r="G9" s="35">
        <f>(统计!I14+G4)*(1+$G$5/100)</f>
        <v>2833.6000000000004</v>
      </c>
      <c r="I9" t="s">
        <v>40</v>
      </c>
      <c r="J9">
        <v>0.39</v>
      </c>
      <c r="K9" t="s">
        <v>40</v>
      </c>
      <c r="L9">
        <v>0.39</v>
      </c>
      <c r="M9" s="26">
        <f t="shared" si="0"/>
        <v>0</v>
      </c>
    </row>
    <row r="10" spans="1:14" x14ac:dyDescent="0.15">
      <c r="A10" s="1" t="s">
        <v>325</v>
      </c>
      <c r="B10" s="20">
        <f>(统计!F19+统计!F23)/100</f>
        <v>0.44</v>
      </c>
      <c r="F10" s="1" t="s">
        <v>198</v>
      </c>
      <c r="G10" s="35">
        <f>(G8+G9)*装备!O5*(1+G6/100)/2</f>
        <v>3503.1150000000002</v>
      </c>
      <c r="I10" t="s">
        <v>10</v>
      </c>
      <c r="J10">
        <v>0.34</v>
      </c>
      <c r="K10" t="s">
        <v>10</v>
      </c>
      <c r="L10">
        <v>0.34</v>
      </c>
      <c r="M10" s="26">
        <f t="shared" si="0"/>
        <v>0</v>
      </c>
    </row>
    <row r="11" spans="1:14" x14ac:dyDescent="0.15">
      <c r="A11" s="1" t="s">
        <v>275</v>
      </c>
      <c r="B11" s="20">
        <f>统计!E25/100</f>
        <v>0.26400000000000001</v>
      </c>
      <c r="C11" s="43" t="s">
        <v>298</v>
      </c>
      <c r="D11" s="43"/>
      <c r="I11" t="s">
        <v>319</v>
      </c>
      <c r="J11">
        <v>0.44</v>
      </c>
      <c r="K11" t="s">
        <v>319</v>
      </c>
      <c r="L11">
        <v>0.44</v>
      </c>
      <c r="M11" s="26">
        <f t="shared" si="0"/>
        <v>0</v>
      </c>
    </row>
    <row r="12" spans="1:14" x14ac:dyDescent="0.15">
      <c r="A12" s="1" t="s">
        <v>276</v>
      </c>
      <c r="B12" s="20">
        <f>统计!N8/100</f>
        <v>0.45</v>
      </c>
      <c r="C12" s="10" t="s">
        <v>299</v>
      </c>
      <c r="D12" s="23" t="s">
        <v>300</v>
      </c>
      <c r="I12" t="s">
        <v>265</v>
      </c>
      <c r="J12">
        <v>0.26400000000000001</v>
      </c>
      <c r="K12" t="s">
        <v>265</v>
      </c>
      <c r="L12">
        <v>0.26400000000000001</v>
      </c>
      <c r="M12" s="26">
        <f t="shared" si="0"/>
        <v>0</v>
      </c>
    </row>
    <row r="13" spans="1:14" x14ac:dyDescent="0.15">
      <c r="A13" s="1" t="s">
        <v>280</v>
      </c>
      <c r="B13" s="20">
        <f>统计!L13</f>
        <v>0.47533170591999996</v>
      </c>
      <c r="C13" s="24" t="s">
        <v>350</v>
      </c>
      <c r="D13" s="25">
        <f>VLOOKUP(C13,词缀!A1:B3,2,0)</f>
        <v>11.6</v>
      </c>
      <c r="I13" t="s">
        <v>67</v>
      </c>
      <c r="J13">
        <v>0.45</v>
      </c>
      <c r="K13" t="s">
        <v>67</v>
      </c>
      <c r="L13">
        <v>0.45</v>
      </c>
      <c r="M13" s="26">
        <f t="shared" si="0"/>
        <v>0</v>
      </c>
    </row>
    <row r="14" spans="1:14" x14ac:dyDescent="0.15">
      <c r="A14" s="1" t="s">
        <v>281</v>
      </c>
      <c r="B14" s="20">
        <f>统计!L14</f>
        <v>0.5540319500319999</v>
      </c>
      <c r="I14" t="s">
        <v>246</v>
      </c>
      <c r="J14">
        <v>0.52779853532799992</v>
      </c>
      <c r="K14" t="s">
        <v>246</v>
      </c>
      <c r="L14">
        <v>0.52779853532799992</v>
      </c>
      <c r="M14" s="26">
        <f t="shared" si="0"/>
        <v>0</v>
      </c>
    </row>
    <row r="15" spans="1:14" x14ac:dyDescent="0.15">
      <c r="A15" s="1" t="s">
        <v>297</v>
      </c>
      <c r="B15" s="22">
        <f>(1+B3/100)*(1+B4*B5)*B6*(1+统计!E14/100+统计!E15/100+统计!E17/100)*(统计!I15+统计!I16)/2</f>
        <v>829665.69169796945</v>
      </c>
      <c r="I15" t="s">
        <v>248</v>
      </c>
      <c r="J15">
        <v>0.59862875502879997</v>
      </c>
      <c r="K15" t="s">
        <v>248</v>
      </c>
      <c r="L15">
        <v>0.59862875502879997</v>
      </c>
      <c r="M15" s="26">
        <f t="shared" si="0"/>
        <v>0</v>
      </c>
    </row>
    <row r="16" spans="1:14" x14ac:dyDescent="0.15">
      <c r="A16" s="1" t="s">
        <v>327</v>
      </c>
      <c r="B16" s="22">
        <f>(1+B3/100)*(1+B4*B5)*B6*(1+统计!F19/100)*(统计!I15+统计!I16)/2</f>
        <v>1192644.431815831</v>
      </c>
      <c r="C16" t="s">
        <v>328</v>
      </c>
      <c r="I16" t="s">
        <v>197</v>
      </c>
      <c r="J16">
        <v>1056362.0407996234</v>
      </c>
      <c r="K16" t="s">
        <v>197</v>
      </c>
      <c r="L16">
        <v>1056362.0407996234</v>
      </c>
      <c r="M16" s="26">
        <f>(L16-J16)/J16</f>
        <v>0</v>
      </c>
    </row>
    <row r="17" spans="1:13" x14ac:dyDescent="0.15">
      <c r="A17" s="41" t="s">
        <v>288</v>
      </c>
      <c r="B17" s="41"/>
      <c r="I17" t="s">
        <v>326</v>
      </c>
      <c r="J17">
        <v>1901451.673439322</v>
      </c>
      <c r="K17" t="s">
        <v>326</v>
      </c>
      <c r="L17">
        <v>1901451.673439322</v>
      </c>
      <c r="M17" s="26">
        <f t="shared" ref="M17:M24" si="1">(L17-J17)/J17</f>
        <v>0</v>
      </c>
    </row>
    <row r="18" spans="1:13" x14ac:dyDescent="0.15">
      <c r="A18" s="12" t="s">
        <v>290</v>
      </c>
      <c r="B18" s="22">
        <f>统计!I15*(1+B3/100)*(1+B5)*(1+B8)*(1+B9+B10)*(1+B11)*(1+B12)*D13</f>
        <v>168720739.51842541</v>
      </c>
      <c r="I18" t="s">
        <v>10</v>
      </c>
      <c r="K18" t="s">
        <v>10</v>
      </c>
    </row>
    <row r="19" spans="1:13" x14ac:dyDescent="0.15">
      <c r="A19" s="12" t="s">
        <v>292</v>
      </c>
      <c r="B19" s="22">
        <f>(统计!I15+统计!I16)/2*(1+B3/100)*(1+B4*B5)*(1+B8)*(1+B9+B10)*(1+B11)*(1+B12)*D13</f>
        <v>84520643.632439435</v>
      </c>
      <c r="I19" t="s">
        <v>289</v>
      </c>
      <c r="J19">
        <v>43542566.407054245</v>
      </c>
      <c r="K19" t="s">
        <v>289</v>
      </c>
      <c r="L19">
        <v>43542566.407054245</v>
      </c>
      <c r="M19" s="26">
        <f t="shared" si="1"/>
        <v>0</v>
      </c>
    </row>
    <row r="20" spans="1:13" x14ac:dyDescent="0.15">
      <c r="A20" s="12" t="s">
        <v>295</v>
      </c>
      <c r="B20" s="22">
        <f>统计!I15*(1+B3/100)*(1+B5)*(1+B8)*(1+B9+B10)*(1+B11)*D13</f>
        <v>116359130.70236234</v>
      </c>
      <c r="I20" t="s">
        <v>291</v>
      </c>
      <c r="J20">
        <v>23623658.878404889</v>
      </c>
      <c r="K20" t="s">
        <v>291</v>
      </c>
      <c r="L20">
        <v>23623658.878404889</v>
      </c>
      <c r="M20" s="26">
        <f t="shared" si="1"/>
        <v>0</v>
      </c>
    </row>
    <row r="21" spans="1:13" x14ac:dyDescent="0.15">
      <c r="A21" s="12" t="s">
        <v>296</v>
      </c>
      <c r="B21" s="22">
        <f>(统计!I15+统计!I16)/2*(1+B3/100)*(1+B4*B5)*(1+B8)*(1+B9+B10)*(1+B11)*D13</f>
        <v>58290099.056854784</v>
      </c>
      <c r="I21" t="s">
        <v>294</v>
      </c>
      <c r="J21">
        <v>30029356.142796032</v>
      </c>
      <c r="K21" t="s">
        <v>294</v>
      </c>
      <c r="L21">
        <v>30029356.142796032</v>
      </c>
      <c r="M21" s="26">
        <f t="shared" si="1"/>
        <v>0</v>
      </c>
    </row>
    <row r="22" spans="1:13" x14ac:dyDescent="0.15">
      <c r="A22" s="41" t="s">
        <v>305</v>
      </c>
      <c r="B22" s="41"/>
      <c r="C22" t="s">
        <v>306</v>
      </c>
      <c r="I22" t="s">
        <v>293</v>
      </c>
      <c r="J22">
        <v>16292178.536830958</v>
      </c>
      <c r="K22" t="s">
        <v>293</v>
      </c>
      <c r="L22">
        <v>16292178.536830958</v>
      </c>
      <c r="M22" s="26">
        <f t="shared" si="1"/>
        <v>0</v>
      </c>
    </row>
    <row r="23" spans="1:13" x14ac:dyDescent="0.15">
      <c r="A23" s="12" t="s">
        <v>308</v>
      </c>
      <c r="B23" s="22">
        <f>B7*6*B19</f>
        <v>654950467.50777328</v>
      </c>
      <c r="C23" t="s">
        <v>309</v>
      </c>
      <c r="I23" t="s">
        <v>304</v>
      </c>
      <c r="K23" t="s">
        <v>304</v>
      </c>
    </row>
    <row r="24" spans="1:13" x14ac:dyDescent="0.15">
      <c r="I24" t="s">
        <v>307</v>
      </c>
      <c r="J24">
        <v>200493992.90102226</v>
      </c>
      <c r="K24" t="s">
        <v>307</v>
      </c>
      <c r="L24">
        <v>200493992.90102226</v>
      </c>
      <c r="M24" s="26">
        <f t="shared" si="1"/>
        <v>0</v>
      </c>
    </row>
  </sheetData>
  <mergeCells count="10">
    <mergeCell ref="A22:B22"/>
    <mergeCell ref="F1:G1"/>
    <mergeCell ref="I1:M1"/>
    <mergeCell ref="I2:J2"/>
    <mergeCell ref="K2:L2"/>
    <mergeCell ref="A1:D1"/>
    <mergeCell ref="A2:B2"/>
    <mergeCell ref="C2:D2"/>
    <mergeCell ref="A17:B17"/>
    <mergeCell ref="C11:D11"/>
  </mergeCells>
  <phoneticPr fontId="1" type="noConversion"/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词缀!$A$1:$A$3</xm:f>
          </x14:formula1>
          <xm:sqref>C13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"/>
  <sheetViews>
    <sheetView workbookViewId="0">
      <selection activeCell="I12" sqref="I12"/>
    </sheetView>
  </sheetViews>
  <sheetFormatPr defaultRowHeight="13.5" x14ac:dyDescent="0.15"/>
  <sheetData>
    <row r="1" spans="1:24" x14ac:dyDescent="0.15">
      <c r="A1" t="s">
        <v>302</v>
      </c>
      <c r="B1">
        <v>4.9000000000000004</v>
      </c>
      <c r="C1" t="s">
        <v>35</v>
      </c>
      <c r="D1" t="s">
        <v>45</v>
      </c>
      <c r="E1" t="s">
        <v>51</v>
      </c>
      <c r="F1" t="s">
        <v>56</v>
      </c>
      <c r="G1" t="s">
        <v>204</v>
      </c>
      <c r="H1" t="s">
        <v>64</v>
      </c>
      <c r="I1" t="s">
        <v>65</v>
      </c>
      <c r="J1" t="s">
        <v>73</v>
      </c>
      <c r="K1" t="s">
        <v>74</v>
      </c>
      <c r="L1" t="s">
        <v>78</v>
      </c>
      <c r="M1" t="s">
        <v>80</v>
      </c>
      <c r="N1" t="s">
        <v>81</v>
      </c>
      <c r="O1" t="s">
        <v>88</v>
      </c>
      <c r="P1" t="s">
        <v>176</v>
      </c>
      <c r="Q1" t="s">
        <v>93</v>
      </c>
      <c r="R1" t="s">
        <v>97</v>
      </c>
      <c r="S1" t="s">
        <v>331</v>
      </c>
      <c r="T1" t="s">
        <v>103</v>
      </c>
      <c r="U1" t="s">
        <v>104</v>
      </c>
      <c r="V1" t="s">
        <v>105</v>
      </c>
      <c r="W1" t="s">
        <v>106</v>
      </c>
      <c r="X1" t="s">
        <v>346</v>
      </c>
    </row>
    <row r="2" spans="1:24" x14ac:dyDescent="0.15">
      <c r="A2" t="s">
        <v>301</v>
      </c>
      <c r="B2">
        <v>9.6</v>
      </c>
      <c r="C2" t="s">
        <v>3</v>
      </c>
      <c r="D2" t="s">
        <v>3</v>
      </c>
      <c r="E2" t="s">
        <v>52</v>
      </c>
      <c r="F2" t="s">
        <v>57</v>
      </c>
      <c r="G2" t="s">
        <v>205</v>
      </c>
      <c r="H2" t="s">
        <v>57</v>
      </c>
      <c r="I2" t="s">
        <v>57</v>
      </c>
      <c r="J2" t="s">
        <v>75</v>
      </c>
      <c r="K2" t="s">
        <v>75</v>
      </c>
      <c r="L2" t="s">
        <v>3</v>
      </c>
      <c r="M2" t="s">
        <v>83</v>
      </c>
      <c r="N2" t="s">
        <v>3</v>
      </c>
      <c r="O2" t="s">
        <v>57</v>
      </c>
      <c r="P2" t="s">
        <v>3</v>
      </c>
      <c r="Q2" t="s">
        <v>57</v>
      </c>
      <c r="R2" t="s">
        <v>2</v>
      </c>
      <c r="S2" t="s">
        <v>341</v>
      </c>
      <c r="T2" t="s">
        <v>57</v>
      </c>
      <c r="U2" t="s">
        <v>57</v>
      </c>
      <c r="V2" t="s">
        <v>57</v>
      </c>
      <c r="W2" t="s">
        <v>57</v>
      </c>
      <c r="X2" t="s">
        <v>349</v>
      </c>
    </row>
    <row r="3" spans="1:24" x14ac:dyDescent="0.15">
      <c r="A3" t="s">
        <v>303</v>
      </c>
      <c r="B3">
        <v>11.6</v>
      </c>
      <c r="C3" t="s">
        <v>9</v>
      </c>
      <c r="D3" t="s">
        <v>5</v>
      </c>
      <c r="E3" t="s">
        <v>53</v>
      </c>
      <c r="F3" t="s">
        <v>58</v>
      </c>
      <c r="G3" t="s">
        <v>206</v>
      </c>
      <c r="H3" t="s">
        <v>58</v>
      </c>
      <c r="I3" t="s">
        <v>58</v>
      </c>
      <c r="J3" t="s">
        <v>57</v>
      </c>
      <c r="K3" t="s">
        <v>57</v>
      </c>
      <c r="L3" t="s">
        <v>9</v>
      </c>
      <c r="M3" t="s">
        <v>3</v>
      </c>
      <c r="N3" t="s">
        <v>5</v>
      </c>
      <c r="O3" t="s">
        <v>58</v>
      </c>
      <c r="P3" t="s">
        <v>5</v>
      </c>
      <c r="Q3" t="s">
        <v>58</v>
      </c>
      <c r="R3" t="s">
        <v>4</v>
      </c>
      <c r="S3" t="s">
        <v>332</v>
      </c>
      <c r="T3" t="s">
        <v>58</v>
      </c>
      <c r="U3" t="s">
        <v>58</v>
      </c>
      <c r="V3" t="s">
        <v>58</v>
      </c>
      <c r="W3" t="s">
        <v>58</v>
      </c>
      <c r="X3" t="s">
        <v>2</v>
      </c>
    </row>
    <row r="4" spans="1:24" x14ac:dyDescent="0.15">
      <c r="C4" t="s">
        <v>39</v>
      </c>
      <c r="D4" t="s">
        <v>47</v>
      </c>
      <c r="F4" t="s">
        <v>52</v>
      </c>
      <c r="G4" t="s">
        <v>207</v>
      </c>
      <c r="H4" t="s">
        <v>52</v>
      </c>
      <c r="I4" t="s">
        <v>52</v>
      </c>
      <c r="J4" t="s">
        <v>58</v>
      </c>
      <c r="K4" t="s">
        <v>58</v>
      </c>
      <c r="L4" t="s">
        <v>39</v>
      </c>
      <c r="M4" t="s">
        <v>9</v>
      </c>
      <c r="N4" t="s">
        <v>84</v>
      </c>
      <c r="O4" t="s">
        <v>89</v>
      </c>
      <c r="P4" t="s">
        <v>47</v>
      </c>
      <c r="Q4" t="s">
        <v>52</v>
      </c>
      <c r="R4" t="s">
        <v>52</v>
      </c>
      <c r="S4" t="s">
        <v>333</v>
      </c>
      <c r="T4" t="s">
        <v>59</v>
      </c>
      <c r="U4" t="s">
        <v>59</v>
      </c>
      <c r="V4" t="s">
        <v>59</v>
      </c>
      <c r="W4" t="s">
        <v>59</v>
      </c>
      <c r="X4" t="s">
        <v>4</v>
      </c>
    </row>
    <row r="5" spans="1:24" x14ac:dyDescent="0.15">
      <c r="C5" t="s">
        <v>41</v>
      </c>
      <c r="D5" t="s">
        <v>90</v>
      </c>
      <c r="E5" t="s">
        <v>101</v>
      </c>
      <c r="F5" t="s">
        <v>59</v>
      </c>
      <c r="G5" t="s">
        <v>208</v>
      </c>
      <c r="H5" t="s">
        <v>7</v>
      </c>
      <c r="I5" t="s">
        <v>7</v>
      </c>
      <c r="J5" t="s">
        <v>52</v>
      </c>
      <c r="K5" t="s">
        <v>52</v>
      </c>
      <c r="L5" t="s">
        <v>82</v>
      </c>
      <c r="M5" t="s">
        <v>39</v>
      </c>
      <c r="N5" t="s">
        <v>85</v>
      </c>
      <c r="O5" t="s">
        <v>90</v>
      </c>
      <c r="P5" t="s">
        <v>90</v>
      </c>
      <c r="Q5" t="s">
        <v>90</v>
      </c>
      <c r="R5" t="s">
        <v>98</v>
      </c>
      <c r="S5" t="s">
        <v>334</v>
      </c>
      <c r="T5" t="s">
        <v>108</v>
      </c>
      <c r="U5" t="s">
        <v>108</v>
      </c>
      <c r="V5" t="s">
        <v>108</v>
      </c>
      <c r="W5" t="s">
        <v>108</v>
      </c>
      <c r="X5" t="s">
        <v>347</v>
      </c>
    </row>
    <row r="6" spans="1:24" x14ac:dyDescent="0.15">
      <c r="C6" t="s">
        <v>15</v>
      </c>
      <c r="D6" t="s">
        <v>48</v>
      </c>
      <c r="E6" t="s">
        <v>42</v>
      </c>
      <c r="F6" t="s">
        <v>60</v>
      </c>
      <c r="G6" t="s">
        <v>209</v>
      </c>
      <c r="H6" t="s">
        <v>62</v>
      </c>
      <c r="I6" t="s">
        <v>66</v>
      </c>
      <c r="J6" t="s">
        <v>60</v>
      </c>
      <c r="K6" t="s">
        <v>60</v>
      </c>
      <c r="L6" t="s">
        <v>15</v>
      </c>
      <c r="M6" t="s">
        <v>82</v>
      </c>
      <c r="N6" t="s">
        <v>211</v>
      </c>
      <c r="O6" t="s">
        <v>49</v>
      </c>
      <c r="P6" t="s">
        <v>13</v>
      </c>
      <c r="Q6" t="s">
        <v>95</v>
      </c>
      <c r="R6" t="s">
        <v>6</v>
      </c>
      <c r="S6" t="s">
        <v>335</v>
      </c>
      <c r="T6" t="s">
        <v>62</v>
      </c>
      <c r="U6" t="s">
        <v>62</v>
      </c>
      <c r="V6" t="s">
        <v>62</v>
      </c>
      <c r="W6" t="s">
        <v>62</v>
      </c>
      <c r="X6" t="s">
        <v>107</v>
      </c>
    </row>
    <row r="7" spans="1:24" x14ac:dyDescent="0.15">
      <c r="C7" t="s">
        <v>13</v>
      </c>
      <c r="D7" t="s">
        <v>49</v>
      </c>
      <c r="F7" t="s">
        <v>61</v>
      </c>
      <c r="G7" t="s">
        <v>210</v>
      </c>
      <c r="I7" t="s">
        <v>68</v>
      </c>
      <c r="J7" t="s">
        <v>180</v>
      </c>
      <c r="K7" t="s">
        <v>181</v>
      </c>
      <c r="L7" t="s">
        <v>13</v>
      </c>
      <c r="M7" t="s">
        <v>15</v>
      </c>
      <c r="N7" t="s">
        <v>9</v>
      </c>
      <c r="O7" t="s">
        <v>177</v>
      </c>
      <c r="P7" t="s">
        <v>178</v>
      </c>
      <c r="Q7" t="s">
        <v>69</v>
      </c>
      <c r="R7" t="s">
        <v>8</v>
      </c>
      <c r="S7" t="s">
        <v>336</v>
      </c>
      <c r="T7" t="s">
        <v>109</v>
      </c>
      <c r="U7" t="s">
        <v>109</v>
      </c>
      <c r="V7" t="s">
        <v>109</v>
      </c>
      <c r="W7" t="s">
        <v>109</v>
      </c>
      <c r="X7" t="s">
        <v>14</v>
      </c>
    </row>
    <row r="8" spans="1:24" x14ac:dyDescent="0.15">
      <c r="A8" t="s">
        <v>342</v>
      </c>
      <c r="B8">
        <v>1.1499999999999999</v>
      </c>
      <c r="C8" t="s">
        <v>42</v>
      </c>
      <c r="E8" t="s">
        <v>228</v>
      </c>
      <c r="F8" t="s">
        <v>62</v>
      </c>
      <c r="N8" t="s">
        <v>39</v>
      </c>
      <c r="O8" t="s">
        <v>15</v>
      </c>
      <c r="R8" t="s">
        <v>10</v>
      </c>
      <c r="S8" t="s">
        <v>337</v>
      </c>
      <c r="T8" t="s">
        <v>31</v>
      </c>
      <c r="U8" t="s">
        <v>116</v>
      </c>
      <c r="V8" t="s">
        <v>114</v>
      </c>
      <c r="W8" t="s">
        <v>31</v>
      </c>
      <c r="X8" t="s">
        <v>348</v>
      </c>
    </row>
    <row r="9" spans="1:24" x14ac:dyDescent="0.15">
      <c r="A9" t="s">
        <v>186</v>
      </c>
      <c r="B9">
        <v>1.1499999999999999</v>
      </c>
      <c r="E9" t="s">
        <v>230</v>
      </c>
      <c r="N9" t="s">
        <v>13</v>
      </c>
      <c r="O9" t="s">
        <v>13</v>
      </c>
      <c r="R9" t="s">
        <v>62</v>
      </c>
      <c r="S9" t="s">
        <v>338</v>
      </c>
      <c r="X9" t="s">
        <v>30</v>
      </c>
    </row>
    <row r="10" spans="1:24" x14ac:dyDescent="0.15">
      <c r="A10" t="s">
        <v>343</v>
      </c>
      <c r="B10">
        <v>1</v>
      </c>
      <c r="H10" t="s">
        <v>381</v>
      </c>
      <c r="I10">
        <v>1</v>
      </c>
      <c r="R10" t="s">
        <v>12</v>
      </c>
      <c r="S10" t="s">
        <v>339</v>
      </c>
    </row>
    <row r="11" spans="1:24" x14ac:dyDescent="0.15">
      <c r="A11" t="s">
        <v>344</v>
      </c>
      <c r="B11">
        <v>1.1499999999999999</v>
      </c>
      <c r="H11" t="s">
        <v>382</v>
      </c>
      <c r="I11">
        <v>0</v>
      </c>
      <c r="R11" t="s">
        <v>99</v>
      </c>
      <c r="S11" t="s">
        <v>340</v>
      </c>
    </row>
    <row r="12" spans="1:24" x14ac:dyDescent="0.15">
      <c r="A12" t="s">
        <v>345</v>
      </c>
      <c r="B12">
        <v>1.05</v>
      </c>
      <c r="C12" t="s">
        <v>0</v>
      </c>
      <c r="D12" t="s">
        <v>1</v>
      </c>
      <c r="F12" t="s">
        <v>162</v>
      </c>
    </row>
    <row r="13" spans="1:24" x14ac:dyDescent="0.15">
      <c r="C13" t="s">
        <v>3</v>
      </c>
      <c r="D13" t="s">
        <v>3</v>
      </c>
      <c r="F13" t="s">
        <v>154</v>
      </c>
    </row>
    <row r="14" spans="1:24" x14ac:dyDescent="0.15">
      <c r="C14" t="s">
        <v>5</v>
      </c>
      <c r="D14" t="s">
        <v>5</v>
      </c>
      <c r="F14" t="s">
        <v>155</v>
      </c>
    </row>
    <row r="15" spans="1:24" x14ac:dyDescent="0.15">
      <c r="C15" t="s">
        <v>7</v>
      </c>
      <c r="D15" t="s">
        <v>7</v>
      </c>
      <c r="F15" t="s">
        <v>157</v>
      </c>
    </row>
    <row r="16" spans="1:24" x14ac:dyDescent="0.15">
      <c r="C16" t="s">
        <v>9</v>
      </c>
      <c r="D16" t="s">
        <v>9</v>
      </c>
      <c r="F16" t="s">
        <v>156</v>
      </c>
    </row>
    <row r="17" spans="3:6" x14ac:dyDescent="0.15">
      <c r="C17" t="s">
        <v>11</v>
      </c>
      <c r="D17" t="s">
        <v>11</v>
      </c>
      <c r="F17" t="s">
        <v>144</v>
      </c>
    </row>
    <row r="18" spans="3:6" x14ac:dyDescent="0.15">
      <c r="C18" t="s">
        <v>13</v>
      </c>
      <c r="D18" t="s">
        <v>13</v>
      </c>
    </row>
    <row r="19" spans="3:6" x14ac:dyDescent="0.15">
      <c r="C19" t="s">
        <v>32</v>
      </c>
      <c r="D19" t="s">
        <v>31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"/>
  <sheetViews>
    <sheetView workbookViewId="0">
      <selection activeCell="H2" sqref="H2"/>
    </sheetView>
  </sheetViews>
  <sheetFormatPr defaultRowHeight="13.5" x14ac:dyDescent="0.15"/>
  <sheetData>
    <row r="1" spans="1:18" x14ac:dyDescent="0.15">
      <c r="A1" s="46" t="s">
        <v>117</v>
      </c>
      <c r="B1" s="48"/>
      <c r="C1" s="47" t="s">
        <v>143</v>
      </c>
      <c r="D1" s="48"/>
      <c r="E1" s="46" t="s">
        <v>11</v>
      </c>
      <c r="F1" s="47"/>
      <c r="G1" s="46" t="s">
        <v>145</v>
      </c>
      <c r="H1" s="48"/>
      <c r="I1" s="46" t="s">
        <v>146</v>
      </c>
      <c r="J1" s="47"/>
      <c r="K1" s="46" t="s">
        <v>147</v>
      </c>
      <c r="L1" s="48"/>
      <c r="M1" s="47" t="s">
        <v>151</v>
      </c>
      <c r="N1" s="47"/>
      <c r="O1" s="46" t="s">
        <v>152</v>
      </c>
      <c r="P1" s="48"/>
      <c r="Q1" s="46" t="s">
        <v>159</v>
      </c>
      <c r="R1" s="48"/>
    </row>
    <row r="2" spans="1:18" x14ac:dyDescent="0.15">
      <c r="A2" s="27" t="s">
        <v>119</v>
      </c>
      <c r="B2" s="29">
        <f>IFERROR(VLOOKUP($A$1,装备!F3:G8,2,0),0)</f>
        <v>701</v>
      </c>
      <c r="C2" s="28" t="s">
        <v>118</v>
      </c>
      <c r="D2" s="29">
        <f>IFERROR(VLOOKUP($C$1,装备!F3:G8,2,0),0)</f>
        <v>1</v>
      </c>
      <c r="E2" s="27" t="s">
        <v>118</v>
      </c>
      <c r="F2" s="28">
        <f>IFERROR(VLOOKUP($E$1,装备!F3:G8,2,0),0)</f>
        <v>14</v>
      </c>
      <c r="G2" s="27" t="s">
        <v>118</v>
      </c>
      <c r="H2" s="29">
        <f>IFERROR(VLOOKUP($G$1,装备!F3:G8,2,0),0)</f>
        <v>0</v>
      </c>
      <c r="I2" s="27" t="s">
        <v>34</v>
      </c>
      <c r="J2" s="28">
        <f>IFERROR(VLOOKUP($I$1,装备!J3:K7,2,0),0)</f>
        <v>100</v>
      </c>
      <c r="K2" s="27" t="s">
        <v>118</v>
      </c>
      <c r="L2" s="29">
        <f>IFERROR(VLOOKUP($K$1,装备!F3:G8,2,0),0)</f>
        <v>12.5</v>
      </c>
      <c r="M2" s="28" t="s">
        <v>125</v>
      </c>
      <c r="N2" s="28">
        <f>IFERROR(VLOOKUP($M$1,装备!F20:G23,2,0),0)</f>
        <v>0</v>
      </c>
      <c r="O2" s="27" t="s">
        <v>34</v>
      </c>
      <c r="P2" s="29">
        <f>IFERROR(VLOOKUP($O$1,装备!J3:K7,2,0),0)</f>
        <v>0</v>
      </c>
      <c r="Q2" t="s">
        <v>329</v>
      </c>
      <c r="R2" s="29">
        <f>IFERROR(VLOOKUP($Q$1,装备!F3:G8,2,0),0)</f>
        <v>0</v>
      </c>
    </row>
    <row r="3" spans="1:18" x14ac:dyDescent="0.15">
      <c r="A3" s="27" t="s">
        <v>120</v>
      </c>
      <c r="B3" s="29">
        <f>IFERROR(VLOOKUP($A$1,装备!J3:K7,2,0),0)</f>
        <v>747</v>
      </c>
      <c r="C3" s="28" t="s">
        <v>34</v>
      </c>
      <c r="D3" s="29">
        <f>IFERROR(VLOOKUP($C$1,装备!J3:K7,2,0),0)</f>
        <v>1</v>
      </c>
      <c r="E3" s="27" t="s">
        <v>121</v>
      </c>
      <c r="F3" s="28">
        <f>IFERROR(VLOOKUP($E$1,装备!F12:G15,2,0),0)</f>
        <v>15</v>
      </c>
      <c r="G3" s="27" t="s">
        <v>34</v>
      </c>
      <c r="H3" s="29">
        <f>IFERROR(VLOOKUP($G$1,装备!J3:K7,2,0),0)</f>
        <v>8.5</v>
      </c>
      <c r="I3" s="27" t="s">
        <v>123</v>
      </c>
      <c r="J3" s="28">
        <f>IFERROR(VLOOKUP($I$1,装备!B10:C13,2,0),0)</f>
        <v>45</v>
      </c>
      <c r="K3" s="27" t="s">
        <v>163</v>
      </c>
      <c r="L3" s="29">
        <f>IFERROR(VLOOKUP($K$1,装备!B3:C6,2,0),0)</f>
        <v>8</v>
      </c>
      <c r="M3" s="28" t="s">
        <v>129</v>
      </c>
      <c r="N3" s="28">
        <f>IFERROR(VLOOKUP($M$1,装备!B17:C20,2,0),0)</f>
        <v>30</v>
      </c>
      <c r="O3" s="27" t="s">
        <v>123</v>
      </c>
      <c r="P3" s="29">
        <f>IFERROR(VLOOKUP($O$1,装备!B10:C13,2,0),0)</f>
        <v>0</v>
      </c>
      <c r="Q3" s="27" t="s">
        <v>34</v>
      </c>
      <c r="R3" s="29">
        <f>IFERROR(VLOOKUP($Q$1,装备!J3:K7,2,0),0)</f>
        <v>0</v>
      </c>
    </row>
    <row r="4" spans="1:18" x14ac:dyDescent="0.15">
      <c r="A4" s="52" t="s">
        <v>122</v>
      </c>
      <c r="B4" s="29">
        <f>IFERROR(VLOOKUP($A$1,装备!F12:G16,2,0),0)</f>
        <v>471</v>
      </c>
      <c r="C4" s="28" t="s">
        <v>121</v>
      </c>
      <c r="D4" s="29">
        <f>IFERROR(VLOOKUP($C$1,装备!F12:G15,2,0),0)</f>
        <v>3</v>
      </c>
      <c r="E4" s="27" t="s">
        <v>135</v>
      </c>
      <c r="F4" s="28">
        <f>IFERROR(VLOOKUP($E$1,装备!F27:G30,2,0),0)</f>
        <v>14</v>
      </c>
      <c r="G4" s="27" t="s">
        <v>123</v>
      </c>
      <c r="H4" s="29">
        <f>IFERROR(VLOOKUP($G$1,装备!B10:C13,2,0),0)</f>
        <v>9.5</v>
      </c>
      <c r="I4" s="27" t="s">
        <v>125</v>
      </c>
      <c r="J4" s="28">
        <f>IFERROR(VLOOKUP($I$1,装备!F20:G23,2,0),0)</f>
        <v>0</v>
      </c>
      <c r="K4" s="27" t="s">
        <v>34</v>
      </c>
      <c r="L4" s="29">
        <f>IFERROR(VLOOKUP($K$1,装备!J3:K7,2,0),0)</f>
        <v>0</v>
      </c>
      <c r="M4" s="28" t="s">
        <v>131</v>
      </c>
      <c r="N4" s="28">
        <f>IFERROR(VLOOKUP($M$1,装备!J19:K22,2,0),0)</f>
        <v>15</v>
      </c>
      <c r="O4" s="27" t="s">
        <v>125</v>
      </c>
      <c r="P4" s="29">
        <f>IFERROR(VLOOKUP($O$1,装备!F20:G23,2,0),0)</f>
        <v>0</v>
      </c>
      <c r="Q4" s="27" t="s">
        <v>127</v>
      </c>
      <c r="R4" s="29">
        <f>IFERROR(VLOOKUP($Q$1,装备!J11:K14,2,0),0)</f>
        <v>20</v>
      </c>
    </row>
    <row r="5" spans="1:18" x14ac:dyDescent="0.15">
      <c r="A5" s="52"/>
      <c r="B5" s="29">
        <f>IFERROR(VLOOKUP($A$1,装备!F16:G16,2,0),0)</f>
        <v>840</v>
      </c>
      <c r="C5" s="28" t="s">
        <v>129</v>
      </c>
      <c r="D5" s="29">
        <f>IFERROR(VLOOKUP($C$1,装备!B17:C20,2,0),0)</f>
        <v>1</v>
      </c>
      <c r="E5" s="27" t="s">
        <v>137</v>
      </c>
      <c r="F5" s="28">
        <f>IFERROR(VLOOKUP($E$1,装备!J26:K29,2,0),0)</f>
        <v>12</v>
      </c>
      <c r="G5" s="27" t="s">
        <v>127</v>
      </c>
      <c r="H5" s="29">
        <f>IFERROR(VLOOKUP($G$1,装备!J11:K14,2,0),0)</f>
        <v>6</v>
      </c>
      <c r="I5" s="27" t="s">
        <v>129</v>
      </c>
      <c r="J5" s="28">
        <f>IFERROR(VLOOKUP($I$1,装备!B17:C20,2,0),0)</f>
        <v>0</v>
      </c>
      <c r="K5" s="27" t="s">
        <v>123</v>
      </c>
      <c r="L5" s="29">
        <f>IFERROR(VLOOKUP($K$1,装备!B10:C13,2,0),0)</f>
        <v>8</v>
      </c>
      <c r="M5" s="28" t="s">
        <v>139</v>
      </c>
      <c r="N5" s="28">
        <f>IFERROR(VLOOKUP($M$1,装备!N10:O15,2,0),0)</f>
        <v>0</v>
      </c>
      <c r="O5" s="27" t="s">
        <v>129</v>
      </c>
      <c r="P5" s="29">
        <f>IFERROR(VLOOKUP($O$1,装备!B17:C20,2,0),0)</f>
        <v>0</v>
      </c>
      <c r="Q5" s="27" t="s">
        <v>129</v>
      </c>
      <c r="R5" s="29">
        <f>IFERROR(VLOOKUP($Q$1,装备!B17:C20,2,0),0)</f>
        <v>19</v>
      </c>
    </row>
    <row r="6" spans="1:18" x14ac:dyDescent="0.15">
      <c r="A6" s="27" t="s">
        <v>124</v>
      </c>
      <c r="B6" s="29">
        <f>IFERROR(VLOOKUP($A$1,装备!B10:C13,2,0),0)</f>
        <v>710</v>
      </c>
      <c r="C6" s="28" t="s">
        <v>131</v>
      </c>
      <c r="D6" s="29">
        <f>IFERROR(VLOOKUP($C$1,装备!J19:K22,2,0),0)</f>
        <v>0</v>
      </c>
      <c r="E6" s="27" t="s">
        <v>163</v>
      </c>
      <c r="F6" s="28">
        <f>IFERROR(VLOOKUP($E$1,装备!B3:C6,2,0),0)</f>
        <v>11</v>
      </c>
      <c r="G6" s="27" t="s">
        <v>129</v>
      </c>
      <c r="H6" s="29">
        <f>IFERROR(VLOOKUP($G$1,装备!B17:C20,2,0),0)</f>
        <v>0</v>
      </c>
      <c r="I6" s="27" t="s">
        <v>131</v>
      </c>
      <c r="J6" s="28">
        <f>IFERROR(VLOOKUP($I$1,装备!J19:K22,2,0),0)</f>
        <v>0</v>
      </c>
      <c r="K6" s="27" t="s">
        <v>125</v>
      </c>
      <c r="L6" s="29">
        <f>IFERROR(VLOOKUP($K$1,装备!F20:G23,2,0),0)</f>
        <v>8</v>
      </c>
      <c r="M6" s="53" t="s">
        <v>373</v>
      </c>
      <c r="N6" s="28">
        <f>IFERROR(VLOOKUP($M$1,装备!J26:K29,2,0),0)</f>
        <v>0</v>
      </c>
      <c r="O6" s="27" t="s">
        <v>131</v>
      </c>
      <c r="P6" s="29">
        <f>IFERROR(VLOOKUP($O$1,装备!J19:K22,2,0),0)</f>
        <v>0</v>
      </c>
      <c r="Q6" s="27" t="s">
        <v>131</v>
      </c>
      <c r="R6" s="29">
        <f>IFERROR(VLOOKUP($Q$1,装备!J19:K22,2,0),0)</f>
        <v>0</v>
      </c>
    </row>
    <row r="7" spans="1:18" x14ac:dyDescent="0.15">
      <c r="A7" s="27" t="s">
        <v>126</v>
      </c>
      <c r="B7" s="29">
        <f>IFERROR(VLOOKUP($A$1,装备!F20:G23,2,0),0)</f>
        <v>481</v>
      </c>
      <c r="C7" s="28" t="s">
        <v>133</v>
      </c>
      <c r="D7" s="29">
        <f>IFERROR(VLOOKUP($C$1,装备!B24:C27,2,0),0)</f>
        <v>2</v>
      </c>
      <c r="E7" s="27" t="s">
        <v>241</v>
      </c>
      <c r="F7" s="28">
        <f>LOOKUP(装备!T11,{"否","是"},{0,20})</f>
        <v>20</v>
      </c>
      <c r="G7" s="27" t="s">
        <v>131</v>
      </c>
      <c r="H7" s="29">
        <f>IFERROR(VLOOKUP($G$1,装备!J19:K22,2,0),0)</f>
        <v>6</v>
      </c>
      <c r="I7" s="27" t="s">
        <v>139</v>
      </c>
      <c r="J7" s="28">
        <f>IFERROR(VLOOKUP($I$1,装备!N10:O15,2,0),0)</f>
        <v>130</v>
      </c>
      <c r="K7" s="27" t="s">
        <v>129</v>
      </c>
      <c r="L7" s="29">
        <f>IFERROR(VLOOKUP($K$1,装备!B17:C20,2,0),0)</f>
        <v>0</v>
      </c>
      <c r="M7" s="28" t="s">
        <v>214</v>
      </c>
      <c r="N7" s="28">
        <f>LOOKUP(装备!S3,{"否","是"},{0,15})</f>
        <v>0</v>
      </c>
      <c r="O7" s="27" t="s">
        <v>139</v>
      </c>
      <c r="P7" s="29">
        <f>IFERROR(VLOOKUP($O$1,装备!N10:O15,2,0),0)</f>
        <v>0</v>
      </c>
      <c r="Q7" s="36" t="s">
        <v>330</v>
      </c>
      <c r="R7" s="29">
        <f>IFERROR(VLOOKUP($Q$1,装备!N10:O15,2,0),0)</f>
        <v>30</v>
      </c>
    </row>
    <row r="8" spans="1:18" x14ac:dyDescent="0.15">
      <c r="A8" s="27" t="s">
        <v>128</v>
      </c>
      <c r="B8" s="29">
        <f>IFERROR(VLOOKUP($A$1,装备!J11:K15,2,0),0)</f>
        <v>492</v>
      </c>
      <c r="C8" s="28" t="s">
        <v>137</v>
      </c>
      <c r="D8" s="29">
        <f>IFERROR(VLOOKUP($C$1,装备!J26:K29,2,0),0)</f>
        <v>0</v>
      </c>
      <c r="E8" s="30" t="s">
        <v>202</v>
      </c>
      <c r="F8" s="31">
        <f>SUM(F2:F7)</f>
        <v>86</v>
      </c>
      <c r="G8" s="27" t="s">
        <v>137</v>
      </c>
      <c r="H8" s="29">
        <f>IFERROR(VLOOKUP($G$1,装备!J26:K29,2,0),0)</f>
        <v>8.5</v>
      </c>
      <c r="I8" s="27" t="s">
        <v>153</v>
      </c>
      <c r="J8" s="28">
        <f>IFERROR(VLOOKUP($I$1,装备!M18:N26,2,0),0)</f>
        <v>50</v>
      </c>
      <c r="K8" s="27" t="s">
        <v>131</v>
      </c>
      <c r="L8" s="29">
        <f>IFERROR(VLOOKUP($K$1,装备!J19:K22,2,0),0)</f>
        <v>8</v>
      </c>
      <c r="M8" s="31" t="s">
        <v>250</v>
      </c>
      <c r="N8" s="31">
        <f>SUM(N2:N7)</f>
        <v>45</v>
      </c>
      <c r="O8" s="27" t="s">
        <v>153</v>
      </c>
      <c r="P8" s="29">
        <f>IFERROR(VLOOKUP($O$1,装备!M18:N26,2,0),0)</f>
        <v>0</v>
      </c>
      <c r="Q8" s="36" t="s">
        <v>331</v>
      </c>
      <c r="R8" s="29">
        <f>IFERROR(VLOOKUP($Q$1,装备!J26:K29,2,0),0)</f>
        <v>20</v>
      </c>
    </row>
    <row r="9" spans="1:18" x14ac:dyDescent="0.15">
      <c r="A9" s="27" t="s">
        <v>130</v>
      </c>
      <c r="B9" s="29">
        <f>IFERROR(VLOOKUP($A$1,装备!B17:C20,2,0),0)</f>
        <v>481</v>
      </c>
      <c r="C9" s="28" t="s">
        <v>139</v>
      </c>
      <c r="D9" s="29">
        <f>IFERROR(VLOOKUP($C$1,装备!N10:O15,2,0),0)</f>
        <v>1</v>
      </c>
      <c r="G9" s="27" t="s">
        <v>153</v>
      </c>
      <c r="H9" s="29">
        <f>IFERROR(VLOOKUP($G$1,装备!M18:N26,2,0),0)</f>
        <v>2.1</v>
      </c>
      <c r="I9" s="27" t="s">
        <v>158</v>
      </c>
      <c r="J9" s="28">
        <f>IFERROR(VLOOKUP($I$1,装备!M29:N33,2,0),0)</f>
        <v>50</v>
      </c>
      <c r="K9" s="27" t="s">
        <v>137</v>
      </c>
      <c r="L9" s="29">
        <f>IFERROR(VLOOKUP($K$1,装备!J26:K29,2,0),0)</f>
        <v>7</v>
      </c>
      <c r="M9" s="33" t="s">
        <v>352</v>
      </c>
      <c r="N9" s="33" t="s">
        <v>351</v>
      </c>
      <c r="O9" s="27" t="s">
        <v>253</v>
      </c>
      <c r="P9" s="29">
        <f>LOOKUP(装备!S4,{"否","是"},{0,15})</f>
        <v>15</v>
      </c>
      <c r="Q9" s="30" t="s">
        <v>252</v>
      </c>
      <c r="R9" s="32">
        <f>SUM(R2:R8)</f>
        <v>89</v>
      </c>
    </row>
    <row r="10" spans="1:18" x14ac:dyDescent="0.15">
      <c r="A10" s="27" t="s">
        <v>132</v>
      </c>
      <c r="B10" s="29">
        <f>IFERROR(VLOOKUP($A$1,装备!J19:K22,2,0),0)</f>
        <v>440</v>
      </c>
      <c r="C10" s="28" t="s">
        <v>148</v>
      </c>
      <c r="D10" s="29">
        <f>SUM(D2:D9)</f>
        <v>9</v>
      </c>
      <c r="G10" s="27" t="s">
        <v>158</v>
      </c>
      <c r="H10" s="29">
        <f>IFERROR(VLOOKUP($G$1,装备!M29:N33,2,0),0)</f>
        <v>5</v>
      </c>
      <c r="I10" s="27" t="s">
        <v>245</v>
      </c>
      <c r="J10" s="28">
        <f>LOOKUP(装备!R10,{"否","是"},{0,100})</f>
        <v>0</v>
      </c>
      <c r="K10" s="27" t="s">
        <v>139</v>
      </c>
      <c r="L10" s="29">
        <f>IFERROR(VLOOKUP($K$1,装备!N10:O15,2,0),0)</f>
        <v>0</v>
      </c>
      <c r="M10" s="28" t="s">
        <v>353</v>
      </c>
      <c r="N10" s="29" t="s">
        <v>354</v>
      </c>
      <c r="O10" s="27" t="s">
        <v>278</v>
      </c>
      <c r="P10" s="29">
        <f>LOOKUP(装备!T13,{"否","是"},{0,8})</f>
        <v>8</v>
      </c>
    </row>
    <row r="11" spans="1:18" x14ac:dyDescent="0.15">
      <c r="A11" s="52" t="s">
        <v>134</v>
      </c>
      <c r="B11" s="29">
        <f>IFERROR(VLOOKUP($A$1,装备!B24:C28,2,0),0)</f>
        <v>473</v>
      </c>
      <c r="C11" s="31" t="s">
        <v>150</v>
      </c>
      <c r="D11" s="32">
        <f>LOOKUP(装备!T12,{"否","是"},{0,1})</f>
        <v>1</v>
      </c>
      <c r="G11" s="27" t="s">
        <v>242</v>
      </c>
      <c r="H11" s="29">
        <f>LOOKUP(装备!R11,{"否","是"},{0,20})</f>
        <v>0</v>
      </c>
      <c r="I11" s="30" t="s">
        <v>213</v>
      </c>
      <c r="J11" s="31">
        <f>SUM(J2:J10)</f>
        <v>375</v>
      </c>
      <c r="K11" s="27" t="s">
        <v>153</v>
      </c>
      <c r="L11" s="29">
        <f>IFERROR(VLOOKUP($K$1,装备!M18:N26,2,0),0)</f>
        <v>10</v>
      </c>
      <c r="M11" s="28" t="s">
        <v>355</v>
      </c>
      <c r="N11" s="29" t="s">
        <v>356</v>
      </c>
      <c r="O11" s="27" t="s">
        <v>255</v>
      </c>
      <c r="P11" s="29">
        <f>SUM(P2:P8)+P10</f>
        <v>8</v>
      </c>
    </row>
    <row r="12" spans="1:18" x14ac:dyDescent="0.15">
      <c r="A12" s="52"/>
      <c r="B12" s="29">
        <f>IFERROR(VLOOKUP($A$1,装备!B29:C29,2,0),0)</f>
        <v>560</v>
      </c>
      <c r="C12" s="46" t="s">
        <v>320</v>
      </c>
      <c r="D12" s="47"/>
      <c r="E12" s="47"/>
      <c r="F12" s="48"/>
      <c r="G12" s="30" t="s">
        <v>212</v>
      </c>
      <c r="H12" s="32">
        <f>SUM(H2:H11)</f>
        <v>45.6</v>
      </c>
      <c r="K12" s="27" t="s">
        <v>215</v>
      </c>
      <c r="L12" s="29">
        <f>LOOKUP(装备!S4,{"否","是"},{0,15})</f>
        <v>15</v>
      </c>
      <c r="M12" s="27" t="s">
        <v>357</v>
      </c>
      <c r="N12" s="29" t="s">
        <v>358</v>
      </c>
      <c r="O12" s="30" t="s">
        <v>257</v>
      </c>
      <c r="P12" s="32">
        <f>P11+P9</f>
        <v>23</v>
      </c>
    </row>
    <row r="13" spans="1:18" x14ac:dyDescent="0.15">
      <c r="A13" s="27" t="s">
        <v>136</v>
      </c>
      <c r="B13" s="29">
        <f>IFERROR(VLOOKUP($A$1,装备!F27:G30,2,0),0)</f>
        <v>424</v>
      </c>
      <c r="C13" s="27"/>
      <c r="D13" s="28" t="s">
        <v>259</v>
      </c>
      <c r="E13" s="28">
        <f>LOOKUP(装备!R9,{"否","是"},{0,35})</f>
        <v>35</v>
      </c>
      <c r="F13" s="45" t="s">
        <v>321</v>
      </c>
      <c r="G13" s="49" t="s">
        <v>315</v>
      </c>
      <c r="H13" s="33" t="s">
        <v>316</v>
      </c>
      <c r="I13" s="34">
        <f>ROUND(装备!O6,0)</f>
        <v>1702</v>
      </c>
      <c r="K13" s="27" t="s">
        <v>247</v>
      </c>
      <c r="L13" s="29">
        <f>1-(1-L2/100)*(1-L3/100)*(1-L4/100)*(1-L5/100)*(1-L6/100)*(1-L7/100)*(1-L8/100)*(1-L9/100)*(1-L10/100)*(1-L11/100)</f>
        <v>0.47533170591999996</v>
      </c>
      <c r="M13" s="27" t="s">
        <v>359</v>
      </c>
      <c r="N13" s="29" t="s">
        <v>360</v>
      </c>
    </row>
    <row r="14" spans="1:18" x14ac:dyDescent="0.15">
      <c r="A14" s="27" t="s">
        <v>138</v>
      </c>
      <c r="B14" s="28">
        <f>IFERROR(VLOOKUP($A$1,装备!J26:K29,2,0),0)</f>
        <v>0</v>
      </c>
      <c r="C14" s="27"/>
      <c r="D14" s="28" t="s">
        <v>239</v>
      </c>
      <c r="E14" s="28">
        <f>LOOKUP(装备!T9,{"否","是"},{0,-20})</f>
        <v>-20</v>
      </c>
      <c r="F14" s="45"/>
      <c r="G14" s="50"/>
      <c r="H14" s="31" t="s">
        <v>317</v>
      </c>
      <c r="I14" s="32">
        <f>ROUND(装备!O7,0)</f>
        <v>1137</v>
      </c>
      <c r="K14" s="30" t="s">
        <v>249</v>
      </c>
      <c r="L14" s="32">
        <f>1-(1-L2/100)*(1-L3/100)*(1-L4/100)*(1-L5/100)*(1-L6/100)*(1-L7/100)*(1-L8/100)*(1-L9/100)*(1-L10/100)*(1-L11/100)*(1-L12/100)</f>
        <v>0.5540319500319999</v>
      </c>
      <c r="M14" s="27" t="s">
        <v>361</v>
      </c>
      <c r="N14" s="29" t="s">
        <v>362</v>
      </c>
    </row>
    <row r="15" spans="1:18" x14ac:dyDescent="0.15">
      <c r="A15" s="27" t="s">
        <v>140</v>
      </c>
      <c r="B15" s="28">
        <f>IFERROR(VLOOKUP($A$1,装备!N10:O15,2,0),0)</f>
        <v>961</v>
      </c>
      <c r="C15" s="27"/>
      <c r="D15" s="28" t="s">
        <v>240</v>
      </c>
      <c r="E15" s="28">
        <f>LOOKUP(装备!T10,{"否","是"},{0,10})</f>
        <v>0</v>
      </c>
      <c r="F15" s="45"/>
      <c r="G15" s="51" t="s">
        <v>318</v>
      </c>
      <c r="H15" s="28" t="s">
        <v>316</v>
      </c>
      <c r="I15" s="29">
        <f>(I13+装备!O8)*(1+统计!H18/100)</f>
        <v>3743.3</v>
      </c>
      <c r="M15" s="27" t="s">
        <v>363</v>
      </c>
      <c r="N15" s="29" t="s">
        <v>364</v>
      </c>
    </row>
    <row r="16" spans="1:18" x14ac:dyDescent="0.15">
      <c r="A16" s="27" t="s">
        <v>163</v>
      </c>
      <c r="B16" s="28">
        <f>IFERROR(VLOOKUP($A$1,装备!B3:C6,2,0),0)</f>
        <v>460</v>
      </c>
      <c r="C16" s="27"/>
      <c r="D16" s="28" t="s">
        <v>222</v>
      </c>
      <c r="E16" s="28">
        <f>LOOKUP(装备!S3,{"否","是"},{0,20})</f>
        <v>0</v>
      </c>
      <c r="F16" s="45"/>
      <c r="G16" s="50"/>
      <c r="H16" s="31" t="s">
        <v>317</v>
      </c>
      <c r="I16" s="32">
        <f>(I14+装备!O9)*(1+统计!H18/100)</f>
        <v>2830.3</v>
      </c>
      <c r="M16" s="27" t="s">
        <v>365</v>
      </c>
      <c r="N16" s="29" t="s">
        <v>366</v>
      </c>
    </row>
    <row r="17" spans="1:14" x14ac:dyDescent="0.15">
      <c r="A17" s="27" t="s">
        <v>153</v>
      </c>
      <c r="B17" s="28">
        <f>IFERROR(VLOOKUP($A$1,装备!M18:N26,2,0),0)</f>
        <v>0</v>
      </c>
      <c r="C17" s="27" t="s">
        <v>261</v>
      </c>
      <c r="D17" s="28" t="s">
        <v>264</v>
      </c>
      <c r="E17" s="28">
        <f>IFERROR(VLOOKUP($D$17,装备!J30:K30,2,0),0)</f>
        <v>0</v>
      </c>
      <c r="F17" s="45"/>
      <c r="G17" s="46" t="s">
        <v>188</v>
      </c>
      <c r="H17" s="48"/>
      <c r="M17" s="27" t="s">
        <v>367</v>
      </c>
      <c r="N17" s="29" t="s">
        <v>368</v>
      </c>
    </row>
    <row r="18" spans="1:14" x14ac:dyDescent="0.15">
      <c r="A18" s="27" t="s">
        <v>158</v>
      </c>
      <c r="B18" s="28">
        <f>IFERROR(VLOOKUP($A$1,装备!M29:N33,2,0),0)</f>
        <v>217</v>
      </c>
      <c r="C18" s="27" t="s">
        <v>260</v>
      </c>
      <c r="D18" s="28" t="s">
        <v>263</v>
      </c>
      <c r="E18" s="28">
        <f>IFERROR(VLOOKUP($D$18,装备!B28:C28,2,0),0)</f>
        <v>0</v>
      </c>
      <c r="F18" s="45"/>
      <c r="G18" s="30" t="s">
        <v>187</v>
      </c>
      <c r="H18" s="32">
        <f>IFERROR(VLOOKUP($G$17,装备!N10:O12,2,0),0)</f>
        <v>10</v>
      </c>
      <c r="M18" s="27" t="s">
        <v>369</v>
      </c>
      <c r="N18" s="29" t="s">
        <v>370</v>
      </c>
    </row>
    <row r="19" spans="1:14" x14ac:dyDescent="0.15">
      <c r="A19" s="27" t="s">
        <v>149</v>
      </c>
      <c r="B19" s="28">
        <v>500</v>
      </c>
      <c r="C19" s="27"/>
      <c r="D19" s="28"/>
      <c r="E19" s="28" t="s">
        <v>324</v>
      </c>
      <c r="F19" s="29">
        <f>SUM(E13:E18)</f>
        <v>15</v>
      </c>
      <c r="M19" s="27" t="s">
        <v>371</v>
      </c>
      <c r="N19" s="29" t="s">
        <v>372</v>
      </c>
    </row>
    <row r="20" spans="1:14" x14ac:dyDescent="0.15">
      <c r="A20" s="27" t="s">
        <v>141</v>
      </c>
      <c r="B20" s="28">
        <f>SUM(B2:B19)</f>
        <v>8958</v>
      </c>
      <c r="C20" s="27"/>
      <c r="D20" s="28"/>
      <c r="E20" s="28"/>
      <c r="F20" s="29"/>
      <c r="M20" s="27" t="s">
        <v>373</v>
      </c>
      <c r="N20" s="29" t="s">
        <v>374</v>
      </c>
    </row>
    <row r="21" spans="1:14" x14ac:dyDescent="0.15">
      <c r="A21" s="30" t="s">
        <v>142</v>
      </c>
      <c r="B21" s="31">
        <f>(SUM(B2:B4,B6:B11,B13:B19)+B5+B12)*(1+D11*D10*0.015)</f>
        <v>10167.33</v>
      </c>
      <c r="C21" s="27"/>
      <c r="D21" s="28" t="s">
        <v>258</v>
      </c>
      <c r="E21" s="28">
        <f>LOOKUP(装备!R12,{"否","是"},{0,20})</f>
        <v>0</v>
      </c>
      <c r="F21" s="45" t="s">
        <v>322</v>
      </c>
      <c r="M21" s="27" t="s">
        <v>375</v>
      </c>
      <c r="N21" s="29" t="s">
        <v>376</v>
      </c>
    </row>
    <row r="22" spans="1:14" ht="13.5" customHeight="1" x14ac:dyDescent="0.15">
      <c r="C22" s="27" t="s">
        <v>72</v>
      </c>
      <c r="D22" s="28" t="s">
        <v>262</v>
      </c>
      <c r="E22" s="28">
        <f>IFERROR(VLOOKUP($D$22,装备!J15:K15,2,0),0)</f>
        <v>29</v>
      </c>
      <c r="F22" s="45"/>
      <c r="M22" s="27" t="s">
        <v>377</v>
      </c>
      <c r="N22" s="29" t="s">
        <v>378</v>
      </c>
    </row>
    <row r="23" spans="1:14" x14ac:dyDescent="0.15">
      <c r="C23" s="27"/>
      <c r="D23" s="28"/>
      <c r="E23" s="28" t="s">
        <v>324</v>
      </c>
      <c r="F23" s="29">
        <f>SUM(E21:E22)</f>
        <v>29</v>
      </c>
      <c r="M23" s="30" t="s">
        <v>379</v>
      </c>
      <c r="N23" s="32" t="s">
        <v>380</v>
      </c>
    </row>
    <row r="24" spans="1:14" x14ac:dyDescent="0.15">
      <c r="C24" s="27"/>
      <c r="D24" s="28"/>
      <c r="E24" s="28"/>
      <c r="F24" s="29"/>
    </row>
    <row r="25" spans="1:14" x14ac:dyDescent="0.15">
      <c r="C25" s="30" t="s">
        <v>220</v>
      </c>
      <c r="D25" s="31" t="s">
        <v>228</v>
      </c>
      <c r="E25" s="31">
        <f>IFERROR(VLOOKUP($D$25,装备!S2:T2,2,0),0)</f>
        <v>26.4</v>
      </c>
      <c r="F25" s="32" t="s">
        <v>323</v>
      </c>
    </row>
  </sheetData>
  <mergeCells count="17">
    <mergeCell ref="A1:B1"/>
    <mergeCell ref="A4:A5"/>
    <mergeCell ref="A11:A12"/>
    <mergeCell ref="C1:D1"/>
    <mergeCell ref="E1:F1"/>
    <mergeCell ref="F13:F18"/>
    <mergeCell ref="F21:F22"/>
    <mergeCell ref="C12:F12"/>
    <mergeCell ref="O1:P1"/>
    <mergeCell ref="Q1:R1"/>
    <mergeCell ref="G1:H1"/>
    <mergeCell ref="G17:H17"/>
    <mergeCell ref="I1:J1"/>
    <mergeCell ref="K1:L1"/>
    <mergeCell ref="M1:N1"/>
    <mergeCell ref="G13:G14"/>
    <mergeCell ref="G15:G1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24</vt:i4>
      </vt:variant>
    </vt:vector>
  </HeadingPairs>
  <TitlesOfParts>
    <vt:vector size="28" baseType="lpstr">
      <vt:lpstr>装备</vt:lpstr>
      <vt:lpstr>计算器</vt:lpstr>
      <vt:lpstr>词缀</vt:lpstr>
      <vt:lpstr>统计</vt:lpstr>
      <vt:lpstr>阿克汗的护腿</vt:lpstr>
      <vt:lpstr>阿克汗的肩铠</vt:lpstr>
      <vt:lpstr>阿克汗的铠靴</vt:lpstr>
      <vt:lpstr>阿克汗的手套</vt:lpstr>
      <vt:lpstr>阿克汗的头盔</vt:lpstr>
      <vt:lpstr>阿克汗的胸甲</vt:lpstr>
      <vt:lpstr>盾牌</vt:lpstr>
      <vt:lpstr>夺魂者裹腕</vt:lpstr>
      <vt:lpstr>焚炉</vt:lpstr>
      <vt:lpstr>皇家华戒</vt:lpstr>
      <vt:lpstr>李奥瑞克的王冠</vt:lpstr>
      <vt:lpstr>刨心者</vt:lpstr>
      <vt:lpstr>破灭余恶</vt:lpstr>
      <vt:lpstr>其他腰带</vt:lpstr>
      <vt:lpstr>骑士腰带</vt:lpstr>
      <vt:lpstr>强横护腕</vt:lpstr>
      <vt:lpstr>乔丹</vt:lpstr>
      <vt:lpstr>圣教军盾牌</vt:lpstr>
      <vt:lpstr>团结</vt:lpstr>
      <vt:lpstr>巫异时刻</vt:lpstr>
      <vt:lpstr>项链</vt:lpstr>
      <vt:lpstr>杨先生的妖术裤</vt:lpstr>
      <vt:lpstr>妖邪必败</vt:lpstr>
      <vt:lpstr>预言之刃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2014-09-15T14:55:54Z</dcterms:modified>
</cp:coreProperties>
</file>